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mc:AlternateContent xmlns:mc="http://schemas.openxmlformats.org/markup-compatibility/2006">
    <mc:Choice Requires="x15">
      <x15ac:absPath xmlns:x15ac="http://schemas.microsoft.com/office/spreadsheetml/2010/11/ac" url="e:\andia3\src\c6022\"/>
    </mc:Choice>
  </mc:AlternateContent>
  <xr:revisionPtr revIDLastSave="0" documentId="13_ncr:1_{D27B2433-B986-4F35-B5BD-7EAD7FFFD01E}" xr6:coauthVersionLast="47" xr6:coauthVersionMax="47" xr10:uidLastSave="{00000000-0000-0000-0000-000000000000}"/>
  <bookViews>
    <workbookView xWindow="-120" yWindow="-120" windowWidth="29040" windowHeight="15840" tabRatio="716" xr2:uid="{00000000-000D-0000-FFFF-FFFF00000000}"/>
  </bookViews>
  <sheets>
    <sheet name="Invoice" sheetId="1" r:id="rId1"/>
    <sheet name="©" sheetId="16" r:id="rId2"/>
    <sheet name="Sales Report" sheetId="17" r:id="rId3"/>
    <sheet name="Customer Report" sheetId="18" r:id="rId4"/>
    <sheet name="Product Report" sheetId="19" r:id="rId5"/>
    <sheet name="Customer Statement" sheetId="20" r:id="rId6"/>
    <sheet name="Sales Rep. Report" sheetId="21" r:id="rId7"/>
    <sheet name="Office-Kit.com.System" sheetId="2" state="veryHidden" r:id="rId8"/>
  </sheets>
  <definedNames>
    <definedName name="InvoicingTemplateLinkTarget" hidden="1">'Office-Kit.com.System'!$A$1</definedName>
    <definedName name="oknBalanceDue">Invoice!$O$134</definedName>
    <definedName name="oknCompanyAddress">Invoice!$I$4</definedName>
    <definedName name="oknCompanyCityStateZip">Invoice!$I$5</definedName>
    <definedName name="oknCompanyContact">Invoice!$I$6</definedName>
    <definedName name="oknCompanyName">Invoice!$I$3</definedName>
    <definedName name="oknCost_1">Invoice!$D$20</definedName>
    <definedName name="oknCost_10">Invoice!$D$29</definedName>
    <definedName name="oknCost_100">Invoice!$D$119</definedName>
    <definedName name="oknCost_101">Invoice!$D$120</definedName>
    <definedName name="oknCost_102">Invoice!$D$121</definedName>
    <definedName name="oknCost_103">Invoice!$D$122</definedName>
    <definedName name="oknCost_104">Invoice!$D$123</definedName>
    <definedName name="oknCost_105">Invoice!$D$124</definedName>
    <definedName name="oknCost_106">Invoice!$D$125</definedName>
    <definedName name="oknCost_107">Invoice!$D$126</definedName>
    <definedName name="oknCost_108">Invoice!$D$127</definedName>
    <definedName name="oknCost_11">Invoice!$D$30</definedName>
    <definedName name="oknCost_12">Invoice!$D$31</definedName>
    <definedName name="oknCost_13">Invoice!$D$32</definedName>
    <definedName name="oknCost_14">Invoice!$D$33</definedName>
    <definedName name="oknCost_15">Invoice!$D$34</definedName>
    <definedName name="oknCost_16">Invoice!$D$35</definedName>
    <definedName name="oknCost_17">Invoice!$D$36</definedName>
    <definedName name="oknCost_18">Invoice!$D$37</definedName>
    <definedName name="oknCost_19">Invoice!$D$38</definedName>
    <definedName name="oknCost_2">Invoice!$D$21</definedName>
    <definedName name="oknCost_20">Invoice!$D$39</definedName>
    <definedName name="oknCost_21">Invoice!$D$40</definedName>
    <definedName name="oknCost_22">Invoice!$D$41</definedName>
    <definedName name="oknCost_23">Invoice!$D$42</definedName>
    <definedName name="oknCost_24">Invoice!$D$43</definedName>
    <definedName name="oknCost_25">Invoice!$D$44</definedName>
    <definedName name="oknCost_26">Invoice!$D$45</definedName>
    <definedName name="oknCost_27">Invoice!$D$46</definedName>
    <definedName name="oknCost_28">Invoice!$D$47</definedName>
    <definedName name="oknCost_29">Invoice!$D$48</definedName>
    <definedName name="oknCost_3">Invoice!$D$22</definedName>
    <definedName name="oknCost_30">Invoice!$D$49</definedName>
    <definedName name="oknCost_31">Invoice!$D$50</definedName>
    <definedName name="oknCost_32">Invoice!$D$51</definedName>
    <definedName name="oknCost_33">Invoice!$D$52</definedName>
    <definedName name="oknCost_34">Invoice!$D$53</definedName>
    <definedName name="oknCost_35">Invoice!$D$54</definedName>
    <definedName name="oknCost_36">Invoice!$D$55</definedName>
    <definedName name="oknCost_37">Invoice!$D$56</definedName>
    <definedName name="oknCost_38">Invoice!$D$57</definedName>
    <definedName name="oknCost_39">Invoice!$D$58</definedName>
    <definedName name="oknCost_4">Invoice!$D$23</definedName>
    <definedName name="oknCost_40">Invoice!$D$59</definedName>
    <definedName name="oknCost_41">Invoice!$D$60</definedName>
    <definedName name="oknCost_42">Invoice!$D$61</definedName>
    <definedName name="oknCost_43">Invoice!$D$62</definedName>
    <definedName name="oknCost_44">Invoice!$D$63</definedName>
    <definedName name="oknCost_45">Invoice!$D$64</definedName>
    <definedName name="oknCost_46">Invoice!$D$65</definedName>
    <definedName name="oknCost_47">Invoice!$D$66</definedName>
    <definedName name="oknCost_48">Invoice!$D$67</definedName>
    <definedName name="oknCost_49">Invoice!$D$68</definedName>
    <definedName name="oknCost_5">Invoice!$D$24</definedName>
    <definedName name="oknCost_50">Invoice!$D$69</definedName>
    <definedName name="oknCost_51">Invoice!$D$70</definedName>
    <definedName name="oknCost_52">Invoice!$D$71</definedName>
    <definedName name="oknCost_53">Invoice!$D$72</definedName>
    <definedName name="oknCost_54">Invoice!$D$73</definedName>
    <definedName name="oknCost_55">Invoice!$D$74</definedName>
    <definedName name="oknCost_56">Invoice!$D$75</definedName>
    <definedName name="oknCost_57">Invoice!$D$76</definedName>
    <definedName name="oknCost_58">Invoice!$D$77</definedName>
    <definedName name="oknCost_59">Invoice!$D$78</definedName>
    <definedName name="oknCost_6">Invoice!$D$25</definedName>
    <definedName name="oknCost_60">Invoice!$D$79</definedName>
    <definedName name="oknCost_61">Invoice!$D$80</definedName>
    <definedName name="oknCost_62">Invoice!$D$81</definedName>
    <definedName name="oknCost_63">Invoice!$D$82</definedName>
    <definedName name="oknCost_64">Invoice!$D$83</definedName>
    <definedName name="oknCost_65">Invoice!$D$84</definedName>
    <definedName name="oknCost_66">Invoice!$D$85</definedName>
    <definedName name="oknCost_67">Invoice!$D$86</definedName>
    <definedName name="oknCost_68">Invoice!$D$87</definedName>
    <definedName name="oknCost_69">Invoice!$D$88</definedName>
    <definedName name="oknCost_7">Invoice!$D$26</definedName>
    <definedName name="oknCost_70">Invoice!$D$89</definedName>
    <definedName name="oknCost_71">Invoice!$D$90</definedName>
    <definedName name="oknCost_72">Invoice!$D$91</definedName>
    <definedName name="oknCost_73">Invoice!$D$92</definedName>
    <definedName name="oknCost_74">Invoice!$D$93</definedName>
    <definedName name="oknCost_75">Invoice!$D$94</definedName>
    <definedName name="oknCost_76">Invoice!$D$95</definedName>
    <definedName name="oknCost_77">Invoice!$D$96</definedName>
    <definedName name="oknCost_78">Invoice!$D$97</definedName>
    <definedName name="oknCost_79">Invoice!$D$98</definedName>
    <definedName name="oknCost_8">Invoice!$D$27</definedName>
    <definedName name="oknCost_80">Invoice!$D$99</definedName>
    <definedName name="oknCost_81">Invoice!$D$100</definedName>
    <definedName name="oknCost_82">Invoice!$D$101</definedName>
    <definedName name="oknCost_83">Invoice!$D$102</definedName>
    <definedName name="oknCost_84">Invoice!$D$103</definedName>
    <definedName name="oknCost_85">Invoice!$D$104</definedName>
    <definedName name="oknCost_86">Invoice!$D$105</definedName>
    <definedName name="oknCost_87">Invoice!$D$106</definedName>
    <definedName name="oknCost_88">Invoice!$D$107</definedName>
    <definedName name="oknCost_89">Invoice!$D$108</definedName>
    <definedName name="oknCost_9">Invoice!$D$28</definedName>
    <definedName name="oknCost_90">Invoice!$D$109</definedName>
    <definedName name="oknCost_91">Invoice!$D$110</definedName>
    <definedName name="oknCost_92">Invoice!$D$111</definedName>
    <definedName name="oknCost_93">Invoice!$D$112</definedName>
    <definedName name="oknCost_94">Invoice!$D$113</definedName>
    <definedName name="oknCost_95">Invoice!$D$114</definedName>
    <definedName name="oknCost_96">Invoice!$D$115</definedName>
    <definedName name="oknCost_97">Invoice!$D$116</definedName>
    <definedName name="oknCost_98">Invoice!$D$117</definedName>
    <definedName name="oknCost_99">Invoice!$D$118</definedName>
    <definedName name="oknCsDateFrom">'Customer Statement'!$C$18</definedName>
    <definedName name="oknCsDateTo">'Customer Statement'!$C$19</definedName>
    <definedName name="oknCsHdrAddress">'Customer Statement'!$C$12</definedName>
    <definedName name="oknCsHdrBalanceCurrent">'Customer Statement'!$H$11</definedName>
    <definedName name="oknCsHdrBalanceForward">'Customer Statement'!$H$10</definedName>
    <definedName name="oknCsHdrCityStateZip">'Customer Statement'!$C$13</definedName>
    <definedName name="oknCsHdrCountry">'Customer Statement'!$C$14</definedName>
    <definedName name="oknCsHdrCredit">'Customer Statement'!$H$12</definedName>
    <definedName name="oknCsHdrCustomerID">'Customer Statement'!$C$10</definedName>
    <definedName name="oknCsHdrCustomerName">'Customer Statement'!$C$11</definedName>
    <definedName name="oknCsHdrInvoiceTotal">'Customer Statement'!$H$14</definedName>
    <definedName name="oknCsHdrPaymentTotal">'Customer Statement'!$H$15</definedName>
    <definedName name="oknCsHdrPhone">'Customer Statement'!$C$15</definedName>
    <definedName name="oknCsStatementAmount">'Customer Statement'!$G$21</definedName>
    <definedName name="oknCsStatementBalance">'Customer Statement'!$H$21</definedName>
    <definedName name="oknCsStatementDate">'Customer Statement'!$B$21</definedName>
    <definedName name="oknCsStatementDesc">'Customer Statement'!$C$21</definedName>
    <definedName name="oknCsStatementDocID">'Customer Statement'!$D$21</definedName>
    <definedName name="oknCsStatementDueDate">'Customer Statement'!$E$21</definedName>
    <definedName name="oknCsStatementStatus">'Customer Statement'!$F$21</definedName>
    <definedName name="oknDatabaseName">Invoice!$R$5</definedName>
    <definedName name="oknDueDate">Invoice!$O$17</definedName>
    <definedName name="oknExtractingEmailInvoice" hidden="1">'Office-Kit.com.System'!$B$14</definedName>
    <definedName name="oknExtractingInvoiceCopyPageSetup" hidden="1">'Office-Kit.com.System'!$B$17</definedName>
    <definedName name="oknExtractingInvoiceRemoveRowCol" hidden="1">'Office-Kit.com.System'!$B$11</definedName>
    <definedName name="oknExtractingProtectPwd" hidden="1">'Office-Kit.com.System'!$B$13</definedName>
    <definedName name="oknExtractingProtectWorksheet" hidden="1">'Office-Kit.com.System'!$B$12</definedName>
    <definedName name="oknExtractingReportRemoveRowCol" hidden="1">'Office-Kit.com.System'!$B$10</definedName>
    <definedName name="oknExtractingRowsToRemoveOnReportWorksheet" hidden="1">'Office-Kit.com.System'!$B$16</definedName>
    <definedName name="oknExtractingWhereToPlaceNewInvoice" hidden="1">'Office-Kit.com.System'!$B$15</definedName>
    <definedName name="oknInvoiceBodyMaxNumber" hidden="1">'Office-Kit.com.System'!$B$19</definedName>
    <definedName name="oknInvoiceBodyMinNumber" hidden="1">'Office-Kit.com.System'!$B$18</definedName>
    <definedName name="oknInvoiceDate">Invoice!$N$5</definedName>
    <definedName name="oknInvoiceID">Invoice!$N$6</definedName>
    <definedName name="oknLineTotal_1">Invoice!$O$20</definedName>
    <definedName name="oknLineTotal_10">Invoice!$O$29</definedName>
    <definedName name="oknLineTotal_100">Invoice!$O$119</definedName>
    <definedName name="oknLineTotal_101">Invoice!$O$120</definedName>
    <definedName name="oknLineTotal_102">Invoice!$O$121</definedName>
    <definedName name="oknLineTotal_103">Invoice!$O$122</definedName>
    <definedName name="oknLineTotal_104">Invoice!$O$123</definedName>
    <definedName name="oknLineTotal_105">Invoice!$O$124</definedName>
    <definedName name="oknLineTotal_106">Invoice!$O$125</definedName>
    <definedName name="oknLineTotal_107">Invoice!$O$126</definedName>
    <definedName name="oknLineTotal_108">Invoice!$O$127</definedName>
    <definedName name="oknLineTotal_11">Invoice!$O$30</definedName>
    <definedName name="oknLineTotal_12">Invoice!$O$31</definedName>
    <definedName name="oknLineTotal_13">Invoice!$O$32</definedName>
    <definedName name="oknLineTotal_14">Invoice!$O$33</definedName>
    <definedName name="oknLineTotal_15">Invoice!$O$34</definedName>
    <definedName name="oknLineTotal_16">Invoice!$O$35</definedName>
    <definedName name="oknLineTotal_17">Invoice!$O$36</definedName>
    <definedName name="oknLineTotal_18">Invoice!$O$37</definedName>
    <definedName name="oknLineTotal_19">Invoice!$O$38</definedName>
    <definedName name="oknLineTotal_2">Invoice!$O$21</definedName>
    <definedName name="oknLineTotal_20">Invoice!$O$39</definedName>
    <definedName name="oknLineTotal_21">Invoice!$O$40</definedName>
    <definedName name="oknLineTotal_22">Invoice!$O$41</definedName>
    <definedName name="oknLineTotal_23">Invoice!$O$42</definedName>
    <definedName name="oknLineTotal_24">Invoice!$O$43</definedName>
    <definedName name="oknLineTotal_25">Invoice!$O$44</definedName>
    <definedName name="oknLineTotal_26">Invoice!$O$45</definedName>
    <definedName name="oknLineTotal_27">Invoice!$O$46</definedName>
    <definedName name="oknLineTotal_28">Invoice!$O$47</definedName>
    <definedName name="oknLineTotal_29">Invoice!$O$48</definedName>
    <definedName name="oknLineTotal_3">Invoice!$O$22</definedName>
    <definedName name="oknLineTotal_30">Invoice!$O$49</definedName>
    <definedName name="oknLineTotal_31">Invoice!$O$50</definedName>
    <definedName name="oknLineTotal_32">Invoice!$O$51</definedName>
    <definedName name="oknLineTotal_33">Invoice!$O$52</definedName>
    <definedName name="oknLineTotal_34">Invoice!$O$53</definedName>
    <definedName name="oknLineTotal_35">Invoice!$O$54</definedName>
    <definedName name="oknLineTotal_36">Invoice!$O$55</definedName>
    <definedName name="oknLineTotal_37">Invoice!$O$56</definedName>
    <definedName name="oknLineTotal_38">Invoice!$O$57</definedName>
    <definedName name="oknLineTotal_39">Invoice!$O$58</definedName>
    <definedName name="oknLineTotal_4">Invoice!$O$23</definedName>
    <definedName name="oknLineTotal_40">Invoice!$O$59</definedName>
    <definedName name="oknLineTotal_41">Invoice!$O$60</definedName>
    <definedName name="oknLineTotal_42">Invoice!$O$61</definedName>
    <definedName name="oknLineTotal_43">Invoice!$O$62</definedName>
    <definedName name="oknLineTotal_44">Invoice!$O$63</definedName>
    <definedName name="oknLineTotal_45">Invoice!$O$64</definedName>
    <definedName name="oknLineTotal_46">Invoice!$O$65</definedName>
    <definedName name="oknLineTotal_47">Invoice!$O$66</definedName>
    <definedName name="oknLineTotal_48">Invoice!$O$67</definedName>
    <definedName name="oknLineTotal_49">Invoice!$O$68</definedName>
    <definedName name="oknLineTotal_5">Invoice!$O$24</definedName>
    <definedName name="oknLineTotal_50">Invoice!$O$69</definedName>
    <definedName name="oknLineTotal_51">Invoice!$O$70</definedName>
    <definedName name="oknLineTotal_52">Invoice!$O$71</definedName>
    <definedName name="oknLineTotal_53">Invoice!$O$72</definedName>
    <definedName name="oknLineTotal_54">Invoice!$O$73</definedName>
    <definedName name="oknLineTotal_55">Invoice!$O$74</definedName>
    <definedName name="oknLineTotal_56">Invoice!$O$75</definedName>
    <definedName name="oknLineTotal_57">Invoice!$O$76</definedName>
    <definedName name="oknLineTotal_58">Invoice!$O$77</definedName>
    <definedName name="oknLineTotal_59">Invoice!$O$78</definedName>
    <definedName name="oknLineTotal_6">Invoice!$O$25</definedName>
    <definedName name="oknLineTotal_60">Invoice!$O$79</definedName>
    <definedName name="oknLineTotal_61">Invoice!$O$80</definedName>
    <definedName name="oknLineTotal_62">Invoice!$O$81</definedName>
    <definedName name="oknLineTotal_63">Invoice!$O$82</definedName>
    <definedName name="oknLineTotal_64">Invoice!$O$83</definedName>
    <definedName name="oknLineTotal_65">Invoice!$O$84</definedName>
    <definedName name="oknLineTotal_66">Invoice!$O$85</definedName>
    <definedName name="oknLineTotal_67">Invoice!$O$86</definedName>
    <definedName name="oknLineTotal_68">Invoice!$O$87</definedName>
    <definedName name="oknLineTotal_69">Invoice!$O$88</definedName>
    <definedName name="oknLineTotal_7">Invoice!$O$26</definedName>
    <definedName name="oknLineTotal_70">Invoice!$O$89</definedName>
    <definedName name="oknLineTotal_71">Invoice!$O$90</definedName>
    <definedName name="oknLineTotal_72">Invoice!$O$91</definedName>
    <definedName name="oknLineTotal_73">Invoice!$O$92</definedName>
    <definedName name="oknLineTotal_74">Invoice!$O$93</definedName>
    <definedName name="oknLineTotal_75">Invoice!$O$94</definedName>
    <definedName name="oknLineTotal_76">Invoice!$O$95</definedName>
    <definedName name="oknLineTotal_77">Invoice!$O$96</definedName>
    <definedName name="oknLineTotal_78">Invoice!$O$97</definedName>
    <definedName name="oknLineTotal_79">Invoice!$O$98</definedName>
    <definedName name="oknLineTotal_8">Invoice!$O$27</definedName>
    <definedName name="oknLineTotal_80">Invoice!$O$99</definedName>
    <definedName name="oknLineTotal_81">Invoice!$O$100</definedName>
    <definedName name="oknLineTotal_82">Invoice!$O$101</definedName>
    <definedName name="oknLineTotal_83">Invoice!$O$102</definedName>
    <definedName name="oknLineTotal_84">Invoice!$O$103</definedName>
    <definedName name="oknLineTotal_85">Invoice!$O$104</definedName>
    <definedName name="oknLineTotal_86">Invoice!$O$105</definedName>
    <definedName name="oknLineTotal_87">Invoice!$O$106</definedName>
    <definedName name="oknLineTotal_88">Invoice!$O$107</definedName>
    <definedName name="oknLineTotal_89">Invoice!$O$108</definedName>
    <definedName name="oknLineTotal_9">Invoice!$O$28</definedName>
    <definedName name="oknLineTotal_90">Invoice!$O$109</definedName>
    <definedName name="oknLineTotal_91">Invoice!$O$110</definedName>
    <definedName name="oknLineTotal_92">Invoice!$O$111</definedName>
    <definedName name="oknLineTotal_93">Invoice!$O$112</definedName>
    <definedName name="oknLineTotal_94">Invoice!$O$113</definedName>
    <definedName name="oknLineTotal_95">Invoice!$O$114</definedName>
    <definedName name="oknLineTotal_96">Invoice!$O$115</definedName>
    <definedName name="oknLineTotal_97">Invoice!$O$116</definedName>
    <definedName name="oknLineTotal_98">Invoice!$O$117</definedName>
    <definedName name="oknLineTotal_99">Invoice!$O$118</definedName>
    <definedName name="oknLineTotalTaxable">Invoice!$D$128</definedName>
    <definedName name="oknOrderID">Invoice!$F$17</definedName>
    <definedName name="oknPayments">Invoice!$O$133</definedName>
    <definedName name="oknPaymentTerm">Invoice!$M$17</definedName>
    <definedName name="oknPrice_1">Invoice!$J$20</definedName>
    <definedName name="oknPrice_10">Invoice!$J$29</definedName>
    <definedName name="oknPrice_100">Invoice!$J$119</definedName>
    <definedName name="oknPrice_101">Invoice!$J$120</definedName>
    <definedName name="oknPrice_102">Invoice!$J$121</definedName>
    <definedName name="oknPrice_103">Invoice!$J$122</definedName>
    <definedName name="oknPrice_104">Invoice!$J$123</definedName>
    <definedName name="oknPrice_105">Invoice!$J$124</definedName>
    <definedName name="oknPrice_106">Invoice!$J$125</definedName>
    <definedName name="oknPrice_107">Invoice!$J$126</definedName>
    <definedName name="oknPrice_108">Invoice!$J$127</definedName>
    <definedName name="oknPrice_11">Invoice!$J$30</definedName>
    <definedName name="oknPrice_12">Invoice!$J$31</definedName>
    <definedName name="oknPrice_13">Invoice!$J$32</definedName>
    <definedName name="oknPrice_14">Invoice!$J$33</definedName>
    <definedName name="oknPrice_15">Invoice!$J$34</definedName>
    <definedName name="oknPrice_16">Invoice!$J$35</definedName>
    <definedName name="oknPrice_17">Invoice!$J$36</definedName>
    <definedName name="oknPrice_18">Invoice!$J$37</definedName>
    <definedName name="oknPrice_19">Invoice!$J$38</definedName>
    <definedName name="oknPrice_2">Invoice!$J$21</definedName>
    <definedName name="oknPrice_20">Invoice!$J$39</definedName>
    <definedName name="oknPrice_21">Invoice!$J$40</definedName>
    <definedName name="oknPrice_22">Invoice!$J$41</definedName>
    <definedName name="oknPrice_23">Invoice!$J$42</definedName>
    <definedName name="oknPrice_24">Invoice!$J$43</definedName>
    <definedName name="oknPrice_25">Invoice!$J$44</definedName>
    <definedName name="oknPrice_26">Invoice!$J$45</definedName>
    <definedName name="oknPrice_27">Invoice!$J$46</definedName>
    <definedName name="oknPrice_28">Invoice!$J$47</definedName>
    <definedName name="oknPrice_29">Invoice!$J$48</definedName>
    <definedName name="oknPrice_3">Invoice!$J$22</definedName>
    <definedName name="oknPrice_30">Invoice!$J$49</definedName>
    <definedName name="oknPrice_31">Invoice!$J$50</definedName>
    <definedName name="oknPrice_32">Invoice!$J$51</definedName>
    <definedName name="oknPrice_33">Invoice!$J$52</definedName>
    <definedName name="oknPrice_34">Invoice!$J$53</definedName>
    <definedName name="oknPrice_35">Invoice!$J$54</definedName>
    <definedName name="oknPrice_36">Invoice!$J$55</definedName>
    <definedName name="oknPrice_37">Invoice!$J$56</definedName>
    <definedName name="oknPrice_38">Invoice!$J$57</definedName>
    <definedName name="oknPrice_39">Invoice!$J$58</definedName>
    <definedName name="oknPrice_4">Invoice!$J$23</definedName>
    <definedName name="oknPrice_40">Invoice!$J$59</definedName>
    <definedName name="oknPrice_41">Invoice!$J$60</definedName>
    <definedName name="oknPrice_42">Invoice!$J$61</definedName>
    <definedName name="oknPrice_43">Invoice!$J$62</definedName>
    <definedName name="oknPrice_44">Invoice!$J$63</definedName>
    <definedName name="oknPrice_45">Invoice!$J$64</definedName>
    <definedName name="oknPrice_46">Invoice!$J$65</definedName>
    <definedName name="oknPrice_47">Invoice!$J$66</definedName>
    <definedName name="oknPrice_48">Invoice!$J$67</definedName>
    <definedName name="oknPrice_49">Invoice!$J$68</definedName>
    <definedName name="oknPrice_5">Invoice!$J$24</definedName>
    <definedName name="oknPrice_50">Invoice!$J$69</definedName>
    <definedName name="oknPrice_51">Invoice!$J$70</definedName>
    <definedName name="oknPrice_52">Invoice!$J$71</definedName>
    <definedName name="oknPrice_53">Invoice!$J$72</definedName>
    <definedName name="oknPrice_54">Invoice!$J$73</definedName>
    <definedName name="oknPrice_55">Invoice!$J$74</definedName>
    <definedName name="oknPrice_56">Invoice!$J$75</definedName>
    <definedName name="oknPrice_57">Invoice!$J$76</definedName>
    <definedName name="oknPrice_58">Invoice!$J$77</definedName>
    <definedName name="oknPrice_59">Invoice!$J$78</definedName>
    <definedName name="oknPrice_6">Invoice!$J$25</definedName>
    <definedName name="oknPrice_60">Invoice!$J$79</definedName>
    <definedName name="oknPrice_61">Invoice!$J$80</definedName>
    <definedName name="oknPrice_62">Invoice!$J$81</definedName>
    <definedName name="oknPrice_63">Invoice!$J$82</definedName>
    <definedName name="oknPrice_64">Invoice!$J$83</definedName>
    <definedName name="oknPrice_65">Invoice!$J$84</definedName>
    <definedName name="oknPrice_66">Invoice!$J$85</definedName>
    <definedName name="oknPrice_67">Invoice!$J$86</definedName>
    <definedName name="oknPrice_68">Invoice!$J$87</definedName>
    <definedName name="oknPrice_69">Invoice!$J$88</definedName>
    <definedName name="oknPrice_7">Invoice!$J$26</definedName>
    <definedName name="oknPrice_70">Invoice!$J$89</definedName>
    <definedName name="oknPrice_71">Invoice!$J$90</definedName>
    <definedName name="oknPrice_72">Invoice!$J$91</definedName>
    <definedName name="oknPrice_73">Invoice!$J$92</definedName>
    <definedName name="oknPrice_74">Invoice!$J$93</definedName>
    <definedName name="oknPrice_75">Invoice!$J$94</definedName>
    <definedName name="oknPrice_76">Invoice!$J$95</definedName>
    <definedName name="oknPrice_77">Invoice!$J$96</definedName>
    <definedName name="oknPrice_78">Invoice!$J$97</definedName>
    <definedName name="oknPrice_79">Invoice!$J$98</definedName>
    <definedName name="oknPrice_8">Invoice!$J$27</definedName>
    <definedName name="oknPrice_80">Invoice!$J$99</definedName>
    <definedName name="oknPrice_81">Invoice!$J$100</definedName>
    <definedName name="oknPrice_82">Invoice!$J$101</definedName>
    <definedName name="oknPrice_83">Invoice!$J$102</definedName>
    <definedName name="oknPrice_84">Invoice!$J$103</definedName>
    <definedName name="oknPrice_85">Invoice!$J$104</definedName>
    <definedName name="oknPrice_86">Invoice!$J$105</definedName>
    <definedName name="oknPrice_87">Invoice!$J$106</definedName>
    <definedName name="oknPrice_88">Invoice!$J$107</definedName>
    <definedName name="oknPrice_89">Invoice!$J$108</definedName>
    <definedName name="oknPrice_9">Invoice!$J$28</definedName>
    <definedName name="oknPrice_90">Invoice!$J$109</definedName>
    <definedName name="oknPrice_91">Invoice!$J$110</definedName>
    <definedName name="oknPrice_92">Invoice!$J$111</definedName>
    <definedName name="oknPrice_93">Invoice!$J$112</definedName>
    <definedName name="oknPrice_94">Invoice!$J$113</definedName>
    <definedName name="oknPrice_95">Invoice!$J$114</definedName>
    <definedName name="oknPrice_96">Invoice!$J$115</definedName>
    <definedName name="oknPrice_97">Invoice!$J$116</definedName>
    <definedName name="oknPrice_98">Invoice!$J$117</definedName>
    <definedName name="oknPrice_99">Invoice!$J$118</definedName>
    <definedName name="oknProductID_1">Invoice!$S$20</definedName>
    <definedName name="oknProductID_10">Invoice!$S$29</definedName>
    <definedName name="oknProductID_11">Invoice!$S$30</definedName>
    <definedName name="oknProductID_12">Invoice!$S$31</definedName>
    <definedName name="oknProductID_13">Invoice!$S$32</definedName>
    <definedName name="oknProductID_14">Invoice!$S$33</definedName>
    <definedName name="oknProductID_15">Invoice!$S$34</definedName>
    <definedName name="oknProductID_16">Invoice!$S$35</definedName>
    <definedName name="oknProductID_17">Invoice!$S$36</definedName>
    <definedName name="oknProductID_18">Invoice!$S$37</definedName>
    <definedName name="oknProductID_2">Invoice!$S$21</definedName>
    <definedName name="oknProductID_3">Invoice!$S$22</definedName>
    <definedName name="oknProductID_4">Invoice!$S$23</definedName>
    <definedName name="oknProductID_5">Invoice!$S$24</definedName>
    <definedName name="oknProductID_6">Invoice!$S$25</definedName>
    <definedName name="oknProductID_7">Invoice!$S$26</definedName>
    <definedName name="oknProductID_8">Invoice!$S$27</definedName>
    <definedName name="oknProductID_9">Invoice!$S$28</definedName>
    <definedName name="oknProductName_1">Invoice!$F$20</definedName>
    <definedName name="oknProductName_10">Invoice!$F$29</definedName>
    <definedName name="oknProductName_100">Invoice!$F$119</definedName>
    <definedName name="oknProductName_101">Invoice!$F$120</definedName>
    <definedName name="oknProductName_102">Invoice!$F$121</definedName>
    <definedName name="oknProductName_103">Invoice!$F$122</definedName>
    <definedName name="oknProductName_104">Invoice!$F$123</definedName>
    <definedName name="oknProductName_105">Invoice!$F$124</definedName>
    <definedName name="oknProductName_106">Invoice!$F$125</definedName>
    <definedName name="oknProductName_107">Invoice!$F$126</definedName>
    <definedName name="oknProductName_108">Invoice!$F$127</definedName>
    <definedName name="oknProductName_11">Invoice!$F$30</definedName>
    <definedName name="oknProductName_12">Invoice!$F$31</definedName>
    <definedName name="oknProductName_13">Invoice!$F$32</definedName>
    <definedName name="oknProductName_14">Invoice!$F$33</definedName>
    <definedName name="oknProductName_15">Invoice!$F$34</definedName>
    <definedName name="oknProductName_16">Invoice!$F$35</definedName>
    <definedName name="oknProductName_17">Invoice!$F$36</definedName>
    <definedName name="oknProductName_18">Invoice!$F$37</definedName>
    <definedName name="oknProductName_19">Invoice!$F$38</definedName>
    <definedName name="oknProductName_2">Invoice!$F$21</definedName>
    <definedName name="oknProductName_20">Invoice!$F$39</definedName>
    <definedName name="oknProductName_21">Invoice!$F$40</definedName>
    <definedName name="oknProductName_22">Invoice!$F$41</definedName>
    <definedName name="oknProductName_23">Invoice!$F$42</definedName>
    <definedName name="oknProductName_24">Invoice!$F$43</definedName>
    <definedName name="oknProductName_25">Invoice!$F$44</definedName>
    <definedName name="oknProductName_26">Invoice!$F$45</definedName>
    <definedName name="oknProductName_27">Invoice!$F$46</definedName>
    <definedName name="oknProductName_28">Invoice!$F$47</definedName>
    <definedName name="oknProductName_29">Invoice!$F$48</definedName>
    <definedName name="oknProductName_3">Invoice!$F$22</definedName>
    <definedName name="oknProductName_30">Invoice!$F$49</definedName>
    <definedName name="oknProductName_31">Invoice!$F$50</definedName>
    <definedName name="oknProductName_32">Invoice!$F$51</definedName>
    <definedName name="oknProductName_33">Invoice!$F$52</definedName>
    <definedName name="oknProductName_34">Invoice!$F$53</definedName>
    <definedName name="oknProductName_35">Invoice!$F$54</definedName>
    <definedName name="oknProductName_36">Invoice!$F$55</definedName>
    <definedName name="oknProductName_37">Invoice!$F$56</definedName>
    <definedName name="oknProductName_38">Invoice!$F$57</definedName>
    <definedName name="oknProductName_39">Invoice!$F$58</definedName>
    <definedName name="oknProductName_4">Invoice!$F$23</definedName>
    <definedName name="oknProductName_40">Invoice!$F$59</definedName>
    <definedName name="oknProductName_41">Invoice!$F$60</definedName>
    <definedName name="oknProductName_42">Invoice!$F$61</definedName>
    <definedName name="oknProductName_43">Invoice!$F$62</definedName>
    <definedName name="oknProductName_44">Invoice!$F$63</definedName>
    <definedName name="oknProductName_45">Invoice!$F$64</definedName>
    <definedName name="oknProductName_46">Invoice!$F$65</definedName>
    <definedName name="oknProductName_47">Invoice!$F$66</definedName>
    <definedName name="oknProductName_48">Invoice!$F$67</definedName>
    <definedName name="oknProductName_49">Invoice!$F$68</definedName>
    <definedName name="oknProductName_5">Invoice!$F$24</definedName>
    <definedName name="oknProductName_50">Invoice!$F$69</definedName>
    <definedName name="oknProductName_51">Invoice!$F$70</definedName>
    <definedName name="oknProductName_52">Invoice!$F$71</definedName>
    <definedName name="oknProductName_53">Invoice!$F$72</definedName>
    <definedName name="oknProductName_54">Invoice!$F$73</definedName>
    <definedName name="oknProductName_55">Invoice!$F$74</definedName>
    <definedName name="oknProductName_56">Invoice!$F$75</definedName>
    <definedName name="oknProductName_57">Invoice!$F$76</definedName>
    <definedName name="oknProductName_58">Invoice!$F$77</definedName>
    <definedName name="oknProductName_59">Invoice!$F$78</definedName>
    <definedName name="oknProductName_6">Invoice!$F$25</definedName>
    <definedName name="oknProductName_60">Invoice!$F$79</definedName>
    <definedName name="oknProductName_61">Invoice!$F$80</definedName>
    <definedName name="oknProductName_62">Invoice!$F$81</definedName>
    <definedName name="oknProductName_63">Invoice!$F$82</definedName>
    <definedName name="oknProductName_64">Invoice!$F$83</definedName>
    <definedName name="oknProductName_65">Invoice!$F$84</definedName>
    <definedName name="oknProductName_66">Invoice!$F$85</definedName>
    <definedName name="oknProductName_67">Invoice!$F$86</definedName>
    <definedName name="oknProductName_68">Invoice!$F$87</definedName>
    <definedName name="oknProductName_69">Invoice!$F$88</definedName>
    <definedName name="oknProductName_7">Invoice!$F$26</definedName>
    <definedName name="oknProductName_70">Invoice!$F$89</definedName>
    <definedName name="oknProductName_71">Invoice!$F$90</definedName>
    <definedName name="oknProductName_72">Invoice!$F$91</definedName>
    <definedName name="oknProductName_73">Invoice!$F$92</definedName>
    <definedName name="oknProductName_74">Invoice!$F$93</definedName>
    <definedName name="oknProductName_75">Invoice!$F$94</definedName>
    <definedName name="oknProductName_76">Invoice!$F$95</definedName>
    <definedName name="oknProductName_77">Invoice!$F$96</definedName>
    <definedName name="oknProductName_78">Invoice!$F$97</definedName>
    <definedName name="oknProductName_79">Invoice!$F$98</definedName>
    <definedName name="oknProductName_8">Invoice!$F$27</definedName>
    <definedName name="oknProductName_80">Invoice!$F$99</definedName>
    <definedName name="oknProductName_81">Invoice!$F$100</definedName>
    <definedName name="oknProductName_82">Invoice!$F$101</definedName>
    <definedName name="oknProductName_83">Invoice!$F$102</definedName>
    <definedName name="oknProductName_84">Invoice!$F$103</definedName>
    <definedName name="oknProductName_85">Invoice!$F$104</definedName>
    <definedName name="oknProductName_86">Invoice!$F$105</definedName>
    <definedName name="oknProductName_87">Invoice!$F$106</definedName>
    <definedName name="oknProductName_88">Invoice!$F$107</definedName>
    <definedName name="oknProductName_89">Invoice!$F$108</definedName>
    <definedName name="oknProductName_9">Invoice!$F$28</definedName>
    <definedName name="oknProductName_90">Invoice!$F$109</definedName>
    <definedName name="oknProductName_91">Invoice!$F$110</definedName>
    <definedName name="oknProductName_92">Invoice!$F$111</definedName>
    <definedName name="oknProductName_93">Invoice!$F$112</definedName>
    <definedName name="oknProductName_94">Invoice!$F$113</definedName>
    <definedName name="oknProductName_95">Invoice!$F$114</definedName>
    <definedName name="oknProductName_96">Invoice!$F$115</definedName>
    <definedName name="oknProductName_97">Invoice!$F$116</definedName>
    <definedName name="oknProductName_98">Invoice!$F$117</definedName>
    <definedName name="oknProductName_99">Invoice!$F$118</definedName>
    <definedName name="oknQuantity_1">Invoice!$K$20</definedName>
    <definedName name="oknQuantity_10">Invoice!$K$29</definedName>
    <definedName name="oknQuantity_100">Invoice!$K$119</definedName>
    <definedName name="oknQuantity_101">Invoice!$K$120</definedName>
    <definedName name="oknQuantity_102">Invoice!$K$121</definedName>
    <definedName name="oknQuantity_103">Invoice!$K$122</definedName>
    <definedName name="oknQuantity_104">Invoice!$K$123</definedName>
    <definedName name="oknQuantity_105">Invoice!$K$124</definedName>
    <definedName name="oknQuantity_106">Invoice!$K$125</definedName>
    <definedName name="oknQuantity_107">Invoice!$K$126</definedName>
    <definedName name="oknQuantity_108">Invoice!$K$127</definedName>
    <definedName name="oknQuantity_11">Invoice!$K$30</definedName>
    <definedName name="oknQuantity_12">Invoice!$K$31</definedName>
    <definedName name="oknQuantity_13">Invoice!$K$32</definedName>
    <definedName name="oknQuantity_14">Invoice!$K$33</definedName>
    <definedName name="oknQuantity_15">Invoice!$K$34</definedName>
    <definedName name="oknQuantity_16">Invoice!$K$35</definedName>
    <definedName name="oknQuantity_17">Invoice!$K$36</definedName>
    <definedName name="oknQuantity_18">Invoice!$K$37</definedName>
    <definedName name="oknQuantity_19">Invoice!$K$38</definedName>
    <definedName name="oknQuantity_2">Invoice!$K$21</definedName>
    <definedName name="oknQuantity_20">Invoice!$K$39</definedName>
    <definedName name="oknQuantity_21">Invoice!$K$40</definedName>
    <definedName name="oknQuantity_22">Invoice!$K$41</definedName>
    <definedName name="oknQuantity_23">Invoice!$K$42</definedName>
    <definedName name="oknQuantity_24">Invoice!$K$43</definedName>
    <definedName name="oknQuantity_25">Invoice!$K$44</definedName>
    <definedName name="oknQuantity_26">Invoice!$K$45</definedName>
    <definedName name="oknQuantity_27">Invoice!$K$46</definedName>
    <definedName name="oknQuantity_28">Invoice!$K$47</definedName>
    <definedName name="oknQuantity_29">Invoice!$K$48</definedName>
    <definedName name="oknQuantity_3">Invoice!$K$22</definedName>
    <definedName name="oknQuantity_30">Invoice!$K$49</definedName>
    <definedName name="oknQuantity_31">Invoice!$K$50</definedName>
    <definedName name="oknQuantity_32">Invoice!$K$51</definedName>
    <definedName name="oknQuantity_33">Invoice!$K$52</definedName>
    <definedName name="oknQuantity_34">Invoice!$K$53</definedName>
    <definedName name="oknQuantity_35">Invoice!$K$54</definedName>
    <definedName name="oknQuantity_36">Invoice!$K$55</definedName>
    <definedName name="oknQuantity_37">Invoice!$K$56</definedName>
    <definedName name="oknQuantity_38">Invoice!$K$57</definedName>
    <definedName name="oknQuantity_39">Invoice!$K$58</definedName>
    <definedName name="oknQuantity_4">Invoice!$K$23</definedName>
    <definedName name="oknQuantity_40">Invoice!$K$59</definedName>
    <definedName name="oknQuantity_41">Invoice!$K$60</definedName>
    <definedName name="oknQuantity_42">Invoice!$K$61</definedName>
    <definedName name="oknQuantity_43">Invoice!$K$62</definedName>
    <definedName name="oknQuantity_44">Invoice!$K$63</definedName>
    <definedName name="oknQuantity_45">Invoice!$K$64</definedName>
    <definedName name="oknQuantity_46">Invoice!$K$65</definedName>
    <definedName name="oknQuantity_47">Invoice!$K$66</definedName>
    <definedName name="oknQuantity_48">Invoice!$K$67</definedName>
    <definedName name="oknQuantity_49">Invoice!$K$68</definedName>
    <definedName name="oknQuantity_5">Invoice!$K$24</definedName>
    <definedName name="oknQuantity_50">Invoice!$K$69</definedName>
    <definedName name="oknQuantity_51">Invoice!$K$70</definedName>
    <definedName name="oknQuantity_52">Invoice!$K$71</definedName>
    <definedName name="oknQuantity_53">Invoice!$K$72</definedName>
    <definedName name="oknQuantity_54">Invoice!$K$73</definedName>
    <definedName name="oknQuantity_55">Invoice!$K$74</definedName>
    <definedName name="oknQuantity_56">Invoice!$K$75</definedName>
    <definedName name="oknQuantity_57">Invoice!$K$76</definedName>
    <definedName name="oknQuantity_58">Invoice!$K$77</definedName>
    <definedName name="oknQuantity_59">Invoice!$K$78</definedName>
    <definedName name="oknQuantity_6">Invoice!$K$25</definedName>
    <definedName name="oknQuantity_60">Invoice!$K$79</definedName>
    <definedName name="oknQuantity_61">Invoice!$K$80</definedName>
    <definedName name="oknQuantity_62">Invoice!$K$81</definedName>
    <definedName name="oknQuantity_63">Invoice!$K$82</definedName>
    <definedName name="oknQuantity_64">Invoice!$K$83</definedName>
    <definedName name="oknQuantity_65">Invoice!$K$84</definedName>
    <definedName name="oknQuantity_66">Invoice!$K$85</definedName>
    <definedName name="oknQuantity_67">Invoice!$K$86</definedName>
    <definedName name="oknQuantity_68">Invoice!$K$87</definedName>
    <definedName name="oknQuantity_69">Invoice!$K$88</definedName>
    <definedName name="oknQuantity_7">Invoice!$K$26</definedName>
    <definedName name="oknQuantity_70">Invoice!$K$89</definedName>
    <definedName name="oknQuantity_71">Invoice!$K$90</definedName>
    <definedName name="oknQuantity_72">Invoice!$K$91</definedName>
    <definedName name="oknQuantity_73">Invoice!$K$92</definedName>
    <definedName name="oknQuantity_74">Invoice!$K$93</definedName>
    <definedName name="oknQuantity_75">Invoice!$K$94</definedName>
    <definedName name="oknQuantity_76">Invoice!$K$95</definedName>
    <definedName name="oknQuantity_77">Invoice!$K$96</definedName>
    <definedName name="oknQuantity_78">Invoice!$K$97</definedName>
    <definedName name="oknQuantity_79">Invoice!$K$98</definedName>
    <definedName name="oknQuantity_8">Invoice!$K$27</definedName>
    <definedName name="oknQuantity_80">Invoice!$K$99</definedName>
    <definedName name="oknQuantity_81">Invoice!$K$100</definedName>
    <definedName name="oknQuantity_82">Invoice!$K$101</definedName>
    <definedName name="oknQuantity_83">Invoice!$K$102</definedName>
    <definedName name="oknQuantity_84">Invoice!$K$103</definedName>
    <definedName name="oknQuantity_85">Invoice!$K$104</definedName>
    <definedName name="oknQuantity_86">Invoice!$K$105</definedName>
    <definedName name="oknQuantity_87">Invoice!$K$106</definedName>
    <definedName name="oknQuantity_88">Invoice!$K$107</definedName>
    <definedName name="oknQuantity_89">Invoice!$K$108</definedName>
    <definedName name="oknQuantity_9">Invoice!$K$28</definedName>
    <definedName name="oknQuantity_90">Invoice!$K$109</definedName>
    <definedName name="oknQuantity_91">Invoice!$K$110</definedName>
    <definedName name="oknQuantity_92">Invoice!$K$111</definedName>
    <definedName name="oknQuantity_93">Invoice!$K$112</definedName>
    <definedName name="oknQuantity_94">Invoice!$K$113</definedName>
    <definedName name="oknQuantity_95">Invoice!$K$114</definedName>
    <definedName name="oknQuantity_96">Invoice!$K$115</definedName>
    <definedName name="oknQuantity_97">Invoice!$K$116</definedName>
    <definedName name="oknQuantity_98">Invoice!$K$117</definedName>
    <definedName name="oknQuantity_99">Invoice!$K$118</definedName>
    <definedName name="oknRcBalanceDue">'Customer Report'!$K$12</definedName>
    <definedName name="oknRcDateFrom">'Customer Report'!$C$9</definedName>
    <definedName name="oknRcDateTo">'Customer Report'!$C$10</definedName>
    <definedName name="oknRcDueDate">'Customer Report'!$N$12</definedName>
    <definedName name="oknRcInvoiceCost">'Customer Report'!$F$12</definedName>
    <definedName name="oknRcInvoiceDate">'Customer Report'!$C$12</definedName>
    <definedName name="oknRcInvoiceID">'Customer Report'!$E$12</definedName>
    <definedName name="oknRcOrderID">'Customer Report'!$O$12</definedName>
    <definedName name="oknRcPayments">'Customer Report'!$J$12</definedName>
    <definedName name="oknRcPaymentTerm">'Customer Report'!$Q$12</definedName>
    <definedName name="oknRcSalesRepName">'Customer Report'!$P$12</definedName>
    <definedName name="oknRcShippingCost">'Customer Report'!$I$12</definedName>
    <definedName name="oknRcSubtotal">'Customer Report'!$L$12</definedName>
    <definedName name="oknRcTax1">'Customer Report'!$G$12</definedName>
    <definedName name="oknRcTax2">'Customer Report'!$H$12</definedName>
    <definedName name="oknRcTotal">'Customer Report'!$M$12</definedName>
    <definedName name="oknRcWhoID">'Customer Report'!$B$12</definedName>
    <definedName name="oknRcWhoName">'Customer Report'!$D$12</definedName>
    <definedName name="oknRpCost">'Product Report'!$I$12</definedName>
    <definedName name="oknRpDateFrom">'Product Report'!$C$9</definedName>
    <definedName name="oknRpDateTo">'Product Report'!$C$10</definedName>
    <definedName name="oknRpInvoiceDate">'Product Report'!$C$12</definedName>
    <definedName name="oknRpInvoiceID">'Product Report'!$D$12</definedName>
    <definedName name="oknRpLineTotal">'Product Report'!$H$12</definedName>
    <definedName name="oknRpPrice">'Product Report'!$G$12</definedName>
    <definedName name="oknRpProductID">'Product Report'!$B$12</definedName>
    <definedName name="oknRpProductName">'Product Report'!$E$12</definedName>
    <definedName name="oknRpQuantity">'Product Report'!$F$12</definedName>
    <definedName name="oknRrBalanceDue">'Sales Rep. Report'!$M$14</definedName>
    <definedName name="oknRrDateFrom">'Sales Rep. Report'!$C$10</definedName>
    <definedName name="oknRrDateTo">'Sales Rep. Report'!$C$11</definedName>
    <definedName name="oknRrDueDate">'Sales Rep. Report'!$N$14</definedName>
    <definedName name="oknRrInvoiceCost">'Sales Rep. Report'!$F$14</definedName>
    <definedName name="oknRrInvoiceDate">'Sales Rep. Report'!$C$14</definedName>
    <definedName name="oknRrInvoiceID">'Sales Rep. Report'!$E$14</definedName>
    <definedName name="oknRrOrderID">'Sales Rep. Report'!$D$14</definedName>
    <definedName name="oknRrPayments">'Sales Rep. Report'!$K$14</definedName>
    <definedName name="oknRrSalesRepName">'Sales Rep. Report'!$B$14</definedName>
    <definedName name="oknRrShippingCost">'Sales Rep. Report'!$I$14</definedName>
    <definedName name="oknRrSubtotal">'Sales Rep. Report'!$L$14</definedName>
    <definedName name="oknRrTax1">'Sales Rep. Report'!$G$14</definedName>
    <definedName name="oknRrTax2">'Sales Rep. Report'!$H$14</definedName>
    <definedName name="oknRrTotal">'Sales Rep. Report'!$J$14</definedName>
    <definedName name="oknRsBalanceDue">'Sales Report'!$N$13</definedName>
    <definedName name="oknRsDateFrom">'Sales Report'!$C$10</definedName>
    <definedName name="oknRsDateTo">'Sales Report'!$C$11</definedName>
    <definedName name="oknRsDueDate">'Sales Report'!$O$13</definedName>
    <definedName name="oknRsInvoiceCost">'Sales Report'!$D$13</definedName>
    <definedName name="oknRsInvoiceDate">'Sales Report'!$C$13</definedName>
    <definedName name="oknRsInvoiceID">'Sales Report'!$E$13</definedName>
    <definedName name="oknRsOrderID">'Sales Report'!$F$13</definedName>
    <definedName name="oknRsPayments">'Sales Report'!$M$13</definedName>
    <definedName name="oknRsPaymentTerm">'Sales Report'!$P$13</definedName>
    <definedName name="oknRsSalesRepName">'Sales Report'!$G$13</definedName>
    <definedName name="oknRsShippingCost">'Sales Report'!$I$13</definedName>
    <definedName name="oknRsSubTotal">'Sales Report'!$H$13</definedName>
    <definedName name="oknRsTax1">'Sales Report'!$J$13</definedName>
    <definedName name="oknRsTax2">'Sales Report'!$K$13</definedName>
    <definedName name="oknRsTotal">'Sales Report'!$L$13</definedName>
    <definedName name="oknRsWhoName">'Sales Report'!$Q$13</definedName>
    <definedName name="oknRsYearMonth">'Sales Report'!$B$13</definedName>
    <definedName name="oknSalesRepName">Invoice!$H$17</definedName>
    <definedName name="oknSavingInvoiceClearWorksheet" hidden="1">'Office-Kit.com.System'!$B$9</definedName>
    <definedName name="oknSavingInvoicePromptForPayment" hidden="1">'Office-Kit.com.System'!$B$8</definedName>
    <definedName name="oknShipAddress">Invoice!$AG$12</definedName>
    <definedName name="oknShipCityStateZip">Invoice!$AG$13</definedName>
    <definedName name="oknShipContact">Invoice!$AG$15</definedName>
    <definedName name="oknShipCountry">Invoice!$AG$14</definedName>
    <definedName name="oknShipDate">Invoice!$J$17</definedName>
    <definedName name="oknShipName">Invoice!$AG$11</definedName>
    <definedName name="oknShippingCost">Invoice!$O$129</definedName>
    <definedName name="oknShipVia">Invoice!$K$17</definedName>
    <definedName name="oknStatus">Invoice!$R$7</definedName>
    <definedName name="oknSubTotal">Invoice!$O$128</definedName>
    <definedName name="oknTax1">Invoice!$O$131</definedName>
    <definedName name="oknTax1Name">Invoice!$L$131</definedName>
    <definedName name="oknTax1Rate">Invoice!$M$131</definedName>
    <definedName name="oknTax1RateDefault">Invoice!$C$12</definedName>
    <definedName name="oknTax2">Invoice!$O$130</definedName>
    <definedName name="oknTax2IsAppliedToTax1">Invoice!$C$10</definedName>
    <definedName name="oknTax2Name">Invoice!$L$130</definedName>
    <definedName name="oknTax2Rate">Invoice!$M$130</definedName>
    <definedName name="oknTax2RateDefault">Invoice!$C$13</definedName>
    <definedName name="oknTaxable_1">Invoice!$C$20</definedName>
    <definedName name="oknTaxable_10">Invoice!$C$29</definedName>
    <definedName name="oknTaxable_100">Invoice!$C$119</definedName>
    <definedName name="oknTaxable_101">Invoice!$C$120</definedName>
    <definedName name="oknTaxable_102">Invoice!$C$121</definedName>
    <definedName name="oknTaxable_103">Invoice!$C$122</definedName>
    <definedName name="oknTaxable_104">Invoice!$C$123</definedName>
    <definedName name="oknTaxable_105">Invoice!$C$124</definedName>
    <definedName name="oknTaxable_106">Invoice!$C$125</definedName>
    <definedName name="oknTaxable_107">Invoice!$C$126</definedName>
    <definedName name="oknTaxable_108">Invoice!$C$127</definedName>
    <definedName name="oknTaxable_11">Invoice!$C$30</definedName>
    <definedName name="oknTaxable_12">Invoice!$C$31</definedName>
    <definedName name="oknTaxable_13">Invoice!$C$32</definedName>
    <definedName name="oknTaxable_14">Invoice!$C$33</definedName>
    <definedName name="oknTaxable_15">Invoice!$C$34</definedName>
    <definedName name="oknTaxable_16">Invoice!$C$35</definedName>
    <definedName name="oknTaxable_17">Invoice!$C$36</definedName>
    <definedName name="oknTaxable_18">Invoice!$C$37</definedName>
    <definedName name="oknTaxable_19">Invoice!$C$38</definedName>
    <definedName name="oknTaxable_2">Invoice!$C$21</definedName>
    <definedName name="oknTaxable_20">Invoice!$C$39</definedName>
    <definedName name="oknTaxable_21">Invoice!$C$40</definedName>
    <definedName name="oknTaxable_22">Invoice!$C$41</definedName>
    <definedName name="oknTaxable_23">Invoice!$C$42</definedName>
    <definedName name="oknTaxable_24">Invoice!$C$43</definedName>
    <definedName name="oknTaxable_25">Invoice!$C$44</definedName>
    <definedName name="oknTaxable_26">Invoice!$C$45</definedName>
    <definedName name="oknTaxable_27">Invoice!$C$46</definedName>
    <definedName name="oknTaxable_28">Invoice!$C$47</definedName>
    <definedName name="oknTaxable_29">Invoice!$C$48</definedName>
    <definedName name="oknTaxable_3">Invoice!$C$22</definedName>
    <definedName name="oknTaxable_30">Invoice!$C$49</definedName>
    <definedName name="oknTaxable_31">Invoice!$C$50</definedName>
    <definedName name="oknTaxable_32">Invoice!$C$51</definedName>
    <definedName name="oknTaxable_33">Invoice!$C$52</definedName>
    <definedName name="oknTaxable_34">Invoice!$C$53</definedName>
    <definedName name="oknTaxable_35">Invoice!$C$54</definedName>
    <definedName name="oknTaxable_36">Invoice!$C$55</definedName>
    <definedName name="oknTaxable_37">Invoice!$C$56</definedName>
    <definedName name="oknTaxable_38">Invoice!$C$57</definedName>
    <definedName name="oknTaxable_39">Invoice!$C$58</definedName>
    <definedName name="oknTaxable_4">Invoice!$C$23</definedName>
    <definedName name="oknTaxable_40">Invoice!$C$59</definedName>
    <definedName name="oknTaxable_41">Invoice!$C$60</definedName>
    <definedName name="oknTaxable_42">Invoice!$C$61</definedName>
    <definedName name="oknTaxable_43">Invoice!$C$62</definedName>
    <definedName name="oknTaxable_44">Invoice!$C$63</definedName>
    <definedName name="oknTaxable_45">Invoice!$C$64</definedName>
    <definedName name="oknTaxable_46">Invoice!$C$65</definedName>
    <definedName name="oknTaxable_47">Invoice!$C$66</definedName>
    <definedName name="oknTaxable_48">Invoice!$C$67</definedName>
    <definedName name="oknTaxable_49">Invoice!$C$68</definedName>
    <definedName name="oknTaxable_5">Invoice!$C$24</definedName>
    <definedName name="oknTaxable_50">Invoice!$C$69</definedName>
    <definedName name="oknTaxable_51">Invoice!$C$70</definedName>
    <definedName name="oknTaxable_52">Invoice!$C$71</definedName>
    <definedName name="oknTaxable_53">Invoice!$C$72</definedName>
    <definedName name="oknTaxable_54">Invoice!$C$73</definedName>
    <definedName name="oknTaxable_55">Invoice!$C$74</definedName>
    <definedName name="oknTaxable_56">Invoice!$C$75</definedName>
    <definedName name="oknTaxable_57">Invoice!$C$76</definedName>
    <definedName name="oknTaxable_58">Invoice!$C$77</definedName>
    <definedName name="oknTaxable_59">Invoice!$C$78</definedName>
    <definedName name="oknTaxable_6">Invoice!$C$25</definedName>
    <definedName name="oknTaxable_60">Invoice!$C$79</definedName>
    <definedName name="oknTaxable_61">Invoice!$C$80</definedName>
    <definedName name="oknTaxable_62">Invoice!$C$81</definedName>
    <definedName name="oknTaxable_63">Invoice!$C$82</definedName>
    <definedName name="oknTaxable_64">Invoice!$C$83</definedName>
    <definedName name="oknTaxable_65">Invoice!$C$84</definedName>
    <definedName name="oknTaxable_66">Invoice!$C$85</definedName>
    <definedName name="oknTaxable_67">Invoice!$C$86</definedName>
    <definedName name="oknTaxable_68">Invoice!$C$87</definedName>
    <definedName name="oknTaxable_69">Invoice!$C$88</definedName>
    <definedName name="oknTaxable_7">Invoice!$C$26</definedName>
    <definedName name="oknTaxable_70">Invoice!$C$89</definedName>
    <definedName name="oknTaxable_71">Invoice!$C$90</definedName>
    <definedName name="oknTaxable_72">Invoice!$C$91</definedName>
    <definedName name="oknTaxable_73">Invoice!$C$92</definedName>
    <definedName name="oknTaxable_74">Invoice!$C$93</definedName>
    <definedName name="oknTaxable_75">Invoice!$C$94</definedName>
    <definedName name="oknTaxable_76">Invoice!$C$95</definedName>
    <definedName name="oknTaxable_77">Invoice!$C$96</definedName>
    <definedName name="oknTaxable_78">Invoice!$C$97</definedName>
    <definedName name="oknTaxable_79">Invoice!$C$98</definedName>
    <definedName name="oknTaxable_8">Invoice!$C$27</definedName>
    <definedName name="oknTaxable_80">Invoice!$C$99</definedName>
    <definedName name="oknTaxable_81">Invoice!$C$100</definedName>
    <definedName name="oknTaxable_82">Invoice!$C$101</definedName>
    <definedName name="oknTaxable_83">Invoice!$C$102</definedName>
    <definedName name="oknTaxable_84">Invoice!$C$103</definedName>
    <definedName name="oknTaxable_85">Invoice!$C$104</definedName>
    <definedName name="oknTaxable_86">Invoice!$C$105</definedName>
    <definedName name="oknTaxable_87">Invoice!$C$106</definedName>
    <definedName name="oknTaxable_88">Invoice!$C$107</definedName>
    <definedName name="oknTaxable_89">Invoice!$C$108</definedName>
    <definedName name="oknTaxable_9">Invoice!$C$28</definedName>
    <definedName name="oknTaxable_90">Invoice!$C$109</definedName>
    <definedName name="oknTaxable_91">Invoice!$C$110</definedName>
    <definedName name="oknTaxable_92">Invoice!$C$111</definedName>
    <definedName name="oknTaxable_93">Invoice!$C$112</definedName>
    <definedName name="oknTaxable_94">Invoice!$C$113</definedName>
    <definedName name="oknTaxable_95">Invoice!$C$114</definedName>
    <definedName name="oknTaxable_96">Invoice!$C$115</definedName>
    <definedName name="oknTaxable_97">Invoice!$C$116</definedName>
    <definedName name="oknTaxable_98">Invoice!$C$117</definedName>
    <definedName name="oknTaxable_99">Invoice!$C$118</definedName>
    <definedName name="oknTaxTotalIncludingShippingCost">Invoice!$C$11</definedName>
    <definedName name="oknTaxType">Invoice!$C$9</definedName>
    <definedName name="oknTotal">Invoice!$O$132</definedName>
    <definedName name="oknTotalNet_1">Invoice!$M$20</definedName>
    <definedName name="oknTotalNet_10">Invoice!$M$29</definedName>
    <definedName name="oknTotalNet_100">Invoice!$M$119</definedName>
    <definedName name="oknTotalNet_101">Invoice!$M$120</definedName>
    <definedName name="oknTotalNet_102">Invoice!$M$121</definedName>
    <definedName name="oknTotalNet_103">Invoice!$M$122</definedName>
    <definedName name="oknTotalNet_104">Invoice!$M$123</definedName>
    <definedName name="oknTotalNet_105">Invoice!$M$124</definedName>
    <definedName name="oknTotalNet_106">Invoice!$M$125</definedName>
    <definedName name="oknTotalNet_107">Invoice!$M$126</definedName>
    <definedName name="oknTotalNet_108">Invoice!$M$127</definedName>
    <definedName name="oknTotalNet_11">Invoice!$M$30</definedName>
    <definedName name="oknTotalNet_12">Invoice!$M$31</definedName>
    <definedName name="oknTotalNet_13">Invoice!$M$32</definedName>
    <definedName name="oknTotalNet_14">Invoice!$M$33</definedName>
    <definedName name="oknTotalNet_15">Invoice!$M$34</definedName>
    <definedName name="oknTotalNet_16">Invoice!$M$35</definedName>
    <definedName name="oknTotalNet_17">Invoice!$M$36</definedName>
    <definedName name="oknTotalNet_18">Invoice!$M$37</definedName>
    <definedName name="oknTotalNet_19">Invoice!$M$38</definedName>
    <definedName name="oknTotalNet_2">Invoice!$M$21</definedName>
    <definedName name="oknTotalNet_20">Invoice!$M$39</definedName>
    <definedName name="oknTotalNet_21">Invoice!$M$40</definedName>
    <definedName name="oknTotalNet_22">Invoice!$M$41</definedName>
    <definedName name="oknTotalNet_23">Invoice!$M$42</definedName>
    <definedName name="oknTotalNet_24">Invoice!$M$43</definedName>
    <definedName name="oknTotalNet_25">Invoice!$M$44</definedName>
    <definedName name="oknTotalNet_26">Invoice!$M$45</definedName>
    <definedName name="oknTotalNet_27">Invoice!$M$46</definedName>
    <definedName name="oknTotalNet_28">Invoice!$M$47</definedName>
    <definedName name="oknTotalNet_29">Invoice!$M$48</definedName>
    <definedName name="oknTotalNet_3">Invoice!$M$22</definedName>
    <definedName name="oknTotalNet_30">Invoice!$M$49</definedName>
    <definedName name="oknTotalNet_31">Invoice!$M$50</definedName>
    <definedName name="oknTotalNet_32">Invoice!$M$51</definedName>
    <definedName name="oknTotalNet_33">Invoice!$M$52</definedName>
    <definedName name="oknTotalNet_34">Invoice!$M$53</definedName>
    <definedName name="oknTotalNet_35">Invoice!$M$54</definedName>
    <definedName name="oknTotalNet_36">Invoice!$M$55</definedName>
    <definedName name="oknTotalNet_37">Invoice!$M$56</definedName>
    <definedName name="oknTotalNet_38">Invoice!$M$57</definedName>
    <definedName name="oknTotalNet_39">Invoice!$M$58</definedName>
    <definedName name="oknTotalNet_4">Invoice!$M$23</definedName>
    <definedName name="oknTotalNet_40">Invoice!$M$59</definedName>
    <definedName name="oknTotalNet_41">Invoice!$M$60</definedName>
    <definedName name="oknTotalNet_42">Invoice!$M$61</definedName>
    <definedName name="oknTotalNet_43">Invoice!$M$62</definedName>
    <definedName name="oknTotalNet_44">Invoice!$M$63</definedName>
    <definedName name="oknTotalNet_45">Invoice!$M$64</definedName>
    <definedName name="oknTotalNet_46">Invoice!$M$65</definedName>
    <definedName name="oknTotalNet_47">Invoice!$M$66</definedName>
    <definedName name="oknTotalNet_48">Invoice!$M$67</definedName>
    <definedName name="oknTotalNet_49">Invoice!$M$68</definedName>
    <definedName name="oknTotalNet_5">Invoice!$M$24</definedName>
    <definedName name="oknTotalNet_50">Invoice!$M$69</definedName>
    <definedName name="oknTotalNet_51">Invoice!$M$70</definedName>
    <definedName name="oknTotalNet_52">Invoice!$M$71</definedName>
    <definedName name="oknTotalNet_53">Invoice!$M$72</definedName>
    <definedName name="oknTotalNet_54">Invoice!$M$73</definedName>
    <definedName name="oknTotalNet_55">Invoice!$M$74</definedName>
    <definedName name="oknTotalNet_56">Invoice!$M$75</definedName>
    <definedName name="oknTotalNet_57">Invoice!$M$76</definedName>
    <definedName name="oknTotalNet_58">Invoice!$M$77</definedName>
    <definedName name="oknTotalNet_59">Invoice!$M$78</definedName>
    <definedName name="oknTotalNet_6">Invoice!$M$25</definedName>
    <definedName name="oknTotalNet_60">Invoice!$M$79</definedName>
    <definedName name="oknTotalNet_61">Invoice!$M$80</definedName>
    <definedName name="oknTotalNet_62">Invoice!$M$81</definedName>
    <definedName name="oknTotalNet_63">Invoice!$M$82</definedName>
    <definedName name="oknTotalNet_64">Invoice!$M$83</definedName>
    <definedName name="oknTotalNet_65">Invoice!$M$84</definedName>
    <definedName name="oknTotalNet_66">Invoice!$M$85</definedName>
    <definedName name="oknTotalNet_67">Invoice!$M$86</definedName>
    <definedName name="oknTotalNet_68">Invoice!$M$87</definedName>
    <definedName name="oknTotalNet_69">Invoice!$M$88</definedName>
    <definedName name="oknTotalNet_7">Invoice!$M$26</definedName>
    <definedName name="oknTotalNet_70">Invoice!$M$89</definedName>
    <definedName name="oknTotalNet_71">Invoice!$M$90</definedName>
    <definedName name="oknTotalNet_72">Invoice!$M$91</definedName>
    <definedName name="oknTotalNet_73">Invoice!$M$92</definedName>
    <definedName name="oknTotalNet_74">Invoice!$M$93</definedName>
    <definedName name="oknTotalNet_75">Invoice!$M$94</definedName>
    <definedName name="oknTotalNet_76">Invoice!$M$95</definedName>
    <definedName name="oknTotalNet_77">Invoice!$M$96</definedName>
    <definedName name="oknTotalNet_78">Invoice!$M$97</definedName>
    <definedName name="oknTotalNet_79">Invoice!$M$98</definedName>
    <definedName name="oknTotalNet_8">Invoice!$M$27</definedName>
    <definedName name="oknTotalNet_80">Invoice!$M$99</definedName>
    <definedName name="oknTotalNet_81">Invoice!$M$100</definedName>
    <definedName name="oknTotalNet_82">Invoice!$M$101</definedName>
    <definedName name="oknTotalNet_83">Invoice!$M$102</definedName>
    <definedName name="oknTotalNet_84">Invoice!$M$103</definedName>
    <definedName name="oknTotalNet_85">Invoice!$M$104</definedName>
    <definedName name="oknTotalNet_86">Invoice!$M$105</definedName>
    <definedName name="oknTotalNet_87">Invoice!$M$106</definedName>
    <definedName name="oknTotalNet_88">Invoice!$M$107</definedName>
    <definedName name="oknTotalNet_89">Invoice!$M$108</definedName>
    <definedName name="oknTotalNet_9">Invoice!$M$28</definedName>
    <definedName name="oknTotalNet_90">Invoice!$M$109</definedName>
    <definedName name="oknTotalNet_91">Invoice!$M$110</definedName>
    <definedName name="oknTotalNet_92">Invoice!$M$111</definedName>
    <definedName name="oknTotalNet_93">Invoice!$M$112</definedName>
    <definedName name="oknTotalNet_94">Invoice!$M$113</definedName>
    <definedName name="oknTotalNet_95">Invoice!$M$114</definedName>
    <definedName name="oknTotalNet_96">Invoice!$M$115</definedName>
    <definedName name="oknTotalNet_97">Invoice!$M$116</definedName>
    <definedName name="oknTotalNet_98">Invoice!$M$117</definedName>
    <definedName name="oknTotalNet_99">Invoice!$M$118</definedName>
    <definedName name="oknVat_1">Invoice!$N$20</definedName>
    <definedName name="oknVat_10">Invoice!$N$29</definedName>
    <definedName name="oknVat_100">Invoice!$N$119</definedName>
    <definedName name="oknVat_101">Invoice!$N$120</definedName>
    <definedName name="oknVat_102">Invoice!$N$121</definedName>
    <definedName name="oknVat_103">Invoice!$N$122</definedName>
    <definedName name="oknVat_104">Invoice!$N$123</definedName>
    <definedName name="oknVat_105">Invoice!$N$124</definedName>
    <definedName name="oknVat_106">Invoice!$N$125</definedName>
    <definedName name="oknVat_107">Invoice!$N$126</definedName>
    <definedName name="oknVat_108">Invoice!$N$127</definedName>
    <definedName name="oknVat_11">Invoice!$N$30</definedName>
    <definedName name="oknVat_12">Invoice!$N$31</definedName>
    <definedName name="oknVat_13">Invoice!$N$32</definedName>
    <definedName name="oknVat_14">Invoice!$N$33</definedName>
    <definedName name="oknVat_15">Invoice!$N$34</definedName>
    <definedName name="oknVat_16">Invoice!$N$35</definedName>
    <definedName name="oknVat_17">Invoice!$N$36</definedName>
    <definedName name="oknVat_18">Invoice!$N$37</definedName>
    <definedName name="oknVat_19">Invoice!$N$38</definedName>
    <definedName name="oknVat_2">Invoice!$N$21</definedName>
    <definedName name="oknVat_20">Invoice!$N$39</definedName>
    <definedName name="oknVat_21">Invoice!$N$40</definedName>
    <definedName name="oknVat_22">Invoice!$N$41</definedName>
    <definedName name="oknVat_23">Invoice!$N$42</definedName>
    <definedName name="oknVat_24">Invoice!$N$43</definedName>
    <definedName name="oknVat_25">Invoice!$N$44</definedName>
    <definedName name="oknVat_26">Invoice!$N$45</definedName>
    <definedName name="oknVat_27">Invoice!$N$46</definedName>
    <definedName name="oknVat_28">Invoice!$N$47</definedName>
    <definedName name="oknVat_29">Invoice!$N$48</definedName>
    <definedName name="oknVat_3">Invoice!$N$22</definedName>
    <definedName name="oknVat_30">Invoice!$N$49</definedName>
    <definedName name="oknVat_31">Invoice!$N$50</definedName>
    <definedName name="oknVat_32">Invoice!$N$51</definedName>
    <definedName name="oknVat_33">Invoice!$N$52</definedName>
    <definedName name="oknVat_34">Invoice!$N$53</definedName>
    <definedName name="oknVat_35">Invoice!$N$54</definedName>
    <definedName name="oknVat_36">Invoice!$N$55</definedName>
    <definedName name="oknVat_37">Invoice!$N$56</definedName>
    <definedName name="oknVat_38">Invoice!$N$57</definedName>
    <definedName name="oknVat_39">Invoice!$N$58</definedName>
    <definedName name="oknVat_4">Invoice!$N$23</definedName>
    <definedName name="oknVat_40">Invoice!$N$59</definedName>
    <definedName name="oknVat_41">Invoice!$N$60</definedName>
    <definedName name="oknVat_42">Invoice!$N$61</definedName>
    <definedName name="oknVat_43">Invoice!$N$62</definedName>
    <definedName name="oknVat_44">Invoice!$N$63</definedName>
    <definedName name="oknVat_45">Invoice!$N$64</definedName>
    <definedName name="oknVat_46">Invoice!$N$65</definedName>
    <definedName name="oknVat_47">Invoice!$N$66</definedName>
    <definedName name="oknVat_48">Invoice!$N$67</definedName>
    <definedName name="oknVat_49">Invoice!$N$68</definedName>
    <definedName name="oknVat_5">Invoice!$N$24</definedName>
    <definedName name="oknVat_50">Invoice!$N$69</definedName>
    <definedName name="oknVat_51">Invoice!$N$70</definedName>
    <definedName name="oknVat_52">Invoice!$N$71</definedName>
    <definedName name="oknVat_53">Invoice!$N$72</definedName>
    <definedName name="oknVat_54">Invoice!$N$73</definedName>
    <definedName name="oknVat_55">Invoice!$N$74</definedName>
    <definedName name="oknVat_56">Invoice!$N$75</definedName>
    <definedName name="oknVat_57">Invoice!$N$76</definedName>
    <definedName name="oknVat_58">Invoice!$N$77</definedName>
    <definedName name="oknVat_59">Invoice!$N$78</definedName>
    <definedName name="oknVat_6">Invoice!$N$25</definedName>
    <definedName name="oknVat_60">Invoice!$N$79</definedName>
    <definedName name="oknVat_61">Invoice!$N$80</definedName>
    <definedName name="oknVat_62">Invoice!$N$81</definedName>
    <definedName name="oknVat_63">Invoice!$N$82</definedName>
    <definedName name="oknVat_64">Invoice!$N$83</definedName>
    <definedName name="oknVat_65">Invoice!$N$84</definedName>
    <definedName name="oknVat_66">Invoice!$N$85</definedName>
    <definedName name="oknVat_67">Invoice!$N$86</definedName>
    <definedName name="oknVat_68">Invoice!$N$87</definedName>
    <definedName name="oknVat_69">Invoice!$N$88</definedName>
    <definedName name="oknVat_7">Invoice!$N$26</definedName>
    <definedName name="oknVat_70">Invoice!$N$89</definedName>
    <definedName name="oknVat_71">Invoice!$N$90</definedName>
    <definedName name="oknVat_72">Invoice!$N$91</definedName>
    <definedName name="oknVat_73">Invoice!$N$92</definedName>
    <definedName name="oknVat_74">Invoice!$N$93</definedName>
    <definedName name="oknVat_75">Invoice!$N$94</definedName>
    <definedName name="oknVat_76">Invoice!$N$95</definedName>
    <definedName name="oknVat_77">Invoice!$N$96</definedName>
    <definedName name="oknVat_78">Invoice!$N$97</definedName>
    <definedName name="oknVat_79">Invoice!$N$98</definedName>
    <definedName name="oknVat_8">Invoice!$N$27</definedName>
    <definedName name="oknVat_80">Invoice!$N$99</definedName>
    <definedName name="oknVat_81">Invoice!$N$100</definedName>
    <definedName name="oknVat_82">Invoice!$N$101</definedName>
    <definedName name="oknVat_83">Invoice!$N$102</definedName>
    <definedName name="oknVat_84">Invoice!$N$103</definedName>
    <definedName name="oknVat_85">Invoice!$N$104</definedName>
    <definedName name="oknVat_86">Invoice!$N$105</definedName>
    <definedName name="oknVat_87">Invoice!$N$106</definedName>
    <definedName name="oknVat_88">Invoice!$N$107</definedName>
    <definedName name="oknVat_89">Invoice!$N$108</definedName>
    <definedName name="oknVat_9">Invoice!$N$28</definedName>
    <definedName name="oknVat_90">Invoice!$N$109</definedName>
    <definedName name="oknVat_91">Invoice!$N$110</definedName>
    <definedName name="oknVat_92">Invoice!$N$111</definedName>
    <definedName name="oknVat_93">Invoice!$N$112</definedName>
    <definedName name="oknVat_94">Invoice!$N$113</definedName>
    <definedName name="oknVat_95">Invoice!$N$114</definedName>
    <definedName name="oknVat_96">Invoice!$N$115</definedName>
    <definedName name="oknVat_97">Invoice!$N$116</definedName>
    <definedName name="oknVat_98">Invoice!$N$117</definedName>
    <definedName name="oknVat_99">Invoice!$N$118</definedName>
    <definedName name="oknWhoAddress">Invoice!$H$11</definedName>
    <definedName name="oknWhoCityStateZip">Invoice!$H$12</definedName>
    <definedName name="oknWhoCountry">Invoice!$H$13</definedName>
    <definedName name="oknWhoID">Invoice!$H$9</definedName>
    <definedName name="oknWhoName">Invoice!$H$10</definedName>
    <definedName name="oknWhoPhone">Invoice!$H$14</definedName>
    <definedName name="oknZ2DONTREMOVESoftwareID" hidden="1">'Office-Kit.com.System'!$B$5</definedName>
    <definedName name="oknZZDONTREMOVEAllowIncompleteLine" localSheetId="7" hidden="1">'Office-Kit.com.System'!$B$20</definedName>
    <definedName name="oknZZDONTREMOVEAllowZeroLineTotal" localSheetId="7" hidden="1">'Office-Kit.com.System'!$B$22</definedName>
    <definedName name="oknZZDONTREMOVEDatabasePath" hidden="1">'Office-Kit.com.System'!$B$6</definedName>
    <definedName name="oknZZDONTREMOVEHowToCloseWorkbook" hidden="1">'Office-Kit.com.System'!$B$7</definedName>
    <definedName name="oknZZDONTREMOVEU" localSheetId="7" hidden="1">'Office-Kit.com.System'!$B$23</definedName>
    <definedName name="oknZZDONTREMOVEUpgradedTo1028" localSheetId="7" hidden="1">'Office-Kit.com.System'!$B$21</definedName>
    <definedName name="_xlnm.Print_Area" localSheetId="3">'Customer Report'!$B$13:$Q$15</definedName>
    <definedName name="_xlnm.Print_Area" localSheetId="5">'Customer Statement'!$B$22:$H$436</definedName>
    <definedName name="_xlnm.Print_Area" localSheetId="0">Invoice!$E$3:$O$140</definedName>
    <definedName name="_xlnm.Print_Area" localSheetId="4">'Product Report'!$B$13:$I$17</definedName>
    <definedName name="_xlnm.Print_Area" localSheetId="6">'Sales Rep. Report'!$B$15:$N$18</definedName>
    <definedName name="_xlnm.Print_Area" localSheetId="2">'Sales Report'!$B$14:$Q$16</definedName>
    <definedName name="_xlnm.Print_Titles" localSheetId="3">'Customer Report'!$3:$12</definedName>
    <definedName name="_xlnm.Print_Titles" localSheetId="5">'Customer Statement'!$3:$21</definedName>
    <definedName name="_xlnm.Print_Titles" localSheetId="0">Invoice!$3:$19</definedName>
    <definedName name="_xlnm.Print_Titles" localSheetId="4">'Product Report'!$4:$12</definedName>
    <definedName name="_xlnm.Print_Titles" localSheetId="6">'Sales Rep. Report'!$3:$14</definedName>
    <definedName name="_xlnm.Print_Titles" localSheetId="2">'Sales Report'!$4:$13</definedName>
    <definedName name="valuevx">42.314159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1" l="1"/>
  <c r="G14" i="21"/>
  <c r="B7" i="21"/>
  <c r="B6" i="21"/>
  <c r="B5" i="21"/>
  <c r="B4" i="21"/>
  <c r="B7" i="20"/>
  <c r="B6" i="20"/>
  <c r="B5" i="20"/>
  <c r="B4" i="20"/>
  <c r="B7" i="19"/>
  <c r="B6" i="19"/>
  <c r="B5" i="19"/>
  <c r="B4" i="19"/>
  <c r="H12" i="18"/>
  <c r="G12" i="18"/>
  <c r="B7" i="18"/>
  <c r="B6" i="18"/>
  <c r="B5" i="18"/>
  <c r="B4" i="18"/>
  <c r="K13" i="17"/>
  <c r="J13" i="17"/>
  <c r="B7" i="17"/>
  <c r="B6" i="17"/>
  <c r="B5" i="17"/>
  <c r="B4" i="17"/>
  <c r="N20" i="1" l="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M20" i="1"/>
  <c r="M127" i="1"/>
  <c r="M126" i="1"/>
  <c r="M125" i="1"/>
  <c r="M124" i="1"/>
  <c r="M123" i="1"/>
  <c r="M122" i="1"/>
  <c r="M121" i="1"/>
  <c r="M120" i="1"/>
  <c r="M119" i="1"/>
  <c r="M118" i="1"/>
  <c r="M117" i="1"/>
  <c r="M116" i="1"/>
  <c r="O116" i="1" s="1"/>
  <c r="M115" i="1"/>
  <c r="M114" i="1"/>
  <c r="M113" i="1"/>
  <c r="M112" i="1"/>
  <c r="M111" i="1"/>
  <c r="M110" i="1"/>
  <c r="M109" i="1"/>
  <c r="M108" i="1"/>
  <c r="M107" i="1"/>
  <c r="M106" i="1"/>
  <c r="M105" i="1"/>
  <c r="M104" i="1"/>
  <c r="O104" i="1" s="1"/>
  <c r="M103" i="1"/>
  <c r="M102" i="1"/>
  <c r="M101" i="1"/>
  <c r="M100" i="1"/>
  <c r="M99" i="1"/>
  <c r="M98" i="1"/>
  <c r="O98" i="1" s="1"/>
  <c r="M97" i="1"/>
  <c r="M96" i="1"/>
  <c r="M95" i="1"/>
  <c r="M94" i="1"/>
  <c r="M93" i="1"/>
  <c r="M92" i="1"/>
  <c r="O92" i="1" s="1"/>
  <c r="M91" i="1"/>
  <c r="M90" i="1"/>
  <c r="M89" i="1"/>
  <c r="M88" i="1"/>
  <c r="M87" i="1"/>
  <c r="M86" i="1"/>
  <c r="M85" i="1"/>
  <c r="M84" i="1"/>
  <c r="M83" i="1"/>
  <c r="M82" i="1"/>
  <c r="M81" i="1"/>
  <c r="M80" i="1"/>
  <c r="O80" i="1" s="1"/>
  <c r="M79" i="1"/>
  <c r="M78" i="1"/>
  <c r="M77" i="1"/>
  <c r="M76" i="1"/>
  <c r="M75" i="1"/>
  <c r="M74" i="1"/>
  <c r="M73" i="1"/>
  <c r="M72" i="1"/>
  <c r="O72" i="1" s="1"/>
  <c r="M71" i="1"/>
  <c r="M70" i="1"/>
  <c r="M69" i="1"/>
  <c r="M68" i="1"/>
  <c r="O68" i="1" s="1"/>
  <c r="M67" i="1"/>
  <c r="M66" i="1"/>
  <c r="M65" i="1"/>
  <c r="M64" i="1"/>
  <c r="M63" i="1"/>
  <c r="M62" i="1"/>
  <c r="M61" i="1"/>
  <c r="M60" i="1"/>
  <c r="O60" i="1" s="1"/>
  <c r="M59" i="1"/>
  <c r="M58" i="1"/>
  <c r="M57" i="1"/>
  <c r="M56" i="1"/>
  <c r="O56" i="1" s="1"/>
  <c r="M55" i="1"/>
  <c r="M54" i="1"/>
  <c r="M53" i="1"/>
  <c r="M52" i="1"/>
  <c r="M51" i="1"/>
  <c r="M50" i="1"/>
  <c r="M49" i="1"/>
  <c r="M48" i="1"/>
  <c r="O48" i="1" s="1"/>
  <c r="M47" i="1"/>
  <c r="M46" i="1"/>
  <c r="M45" i="1"/>
  <c r="M44" i="1"/>
  <c r="O44" i="1" s="1"/>
  <c r="M43" i="1"/>
  <c r="M42" i="1"/>
  <c r="M41" i="1"/>
  <c r="M40" i="1"/>
  <c r="M39" i="1"/>
  <c r="M38" i="1"/>
  <c r="M37" i="1"/>
  <c r="M36" i="1"/>
  <c r="O36" i="1" s="1"/>
  <c r="M35" i="1"/>
  <c r="M34" i="1"/>
  <c r="M33" i="1"/>
  <c r="M32" i="1"/>
  <c r="O32" i="1" s="1"/>
  <c r="M31" i="1"/>
  <c r="M30" i="1"/>
  <c r="M29" i="1"/>
  <c r="M28" i="1"/>
  <c r="M27" i="1"/>
  <c r="M26" i="1"/>
  <c r="M25" i="1"/>
  <c r="M24" i="1"/>
  <c r="M23" i="1"/>
  <c r="M22" i="1"/>
  <c r="M21" i="1"/>
  <c r="O130" i="1"/>
  <c r="O122" i="1" l="1"/>
  <c r="O20" i="1"/>
  <c r="O118" i="1"/>
  <c r="O84" i="1"/>
  <c r="O120" i="1"/>
  <c r="O96" i="1"/>
  <c r="O108" i="1"/>
  <c r="O102" i="1"/>
  <c r="O28" i="1"/>
  <c r="O52" i="1"/>
  <c r="O64" i="1"/>
  <c r="O76" i="1"/>
  <c r="O88" i="1"/>
  <c r="O100" i="1"/>
  <c r="O112" i="1"/>
  <c r="O124" i="1"/>
  <c r="O40" i="1"/>
  <c r="O114" i="1"/>
  <c r="O53" i="1"/>
  <c r="O41" i="1"/>
  <c r="O21" i="1"/>
  <c r="O65" i="1"/>
  <c r="O81" i="1"/>
  <c r="O97" i="1"/>
  <c r="O113" i="1"/>
  <c r="O121" i="1"/>
  <c r="O33" i="1"/>
  <c r="O37" i="1"/>
  <c r="O25" i="1"/>
  <c r="O125" i="1"/>
  <c r="O49" i="1"/>
  <c r="O34" i="1"/>
  <c r="O126" i="1"/>
  <c r="O26" i="1"/>
  <c r="O30" i="1"/>
  <c r="O24" i="1"/>
  <c r="O38" i="1"/>
  <c r="O42" i="1"/>
  <c r="O46" i="1"/>
  <c r="O57" i="1"/>
  <c r="O61" i="1"/>
  <c r="O22" i="1"/>
  <c r="O29" i="1"/>
  <c r="O54" i="1"/>
  <c r="O58" i="1"/>
  <c r="O62" i="1"/>
  <c r="O69" i="1"/>
  <c r="O73" i="1"/>
  <c r="O77" i="1"/>
  <c r="O45" i="1"/>
  <c r="O66" i="1"/>
  <c r="O70" i="1"/>
  <c r="O89" i="1"/>
  <c r="O93" i="1"/>
  <c r="O55" i="1"/>
  <c r="O107" i="1"/>
  <c r="O111" i="1"/>
  <c r="O39" i="1"/>
  <c r="O23" i="1"/>
  <c r="O50" i="1"/>
  <c r="O75" i="1"/>
  <c r="O79" i="1"/>
  <c r="O82" i="1"/>
  <c r="O86" i="1"/>
  <c r="O90" i="1"/>
  <c r="O94" i="1"/>
  <c r="O101" i="1"/>
  <c r="O105" i="1"/>
  <c r="O109" i="1"/>
  <c r="O27" i="1"/>
  <c r="O43" i="1"/>
  <c r="O59" i="1"/>
  <c r="O83" i="1"/>
  <c r="O87" i="1"/>
  <c r="O115" i="1"/>
  <c r="O119" i="1"/>
  <c r="O31" i="1"/>
  <c r="O63" i="1"/>
  <c r="O91" i="1"/>
  <c r="O95" i="1"/>
  <c r="O123" i="1"/>
  <c r="O127" i="1"/>
  <c r="O131" i="1"/>
  <c r="O47" i="1"/>
  <c r="O35" i="1"/>
  <c r="O51" i="1"/>
  <c r="O67" i="1"/>
  <c r="O71" i="1"/>
  <c r="O74" i="1"/>
  <c r="O78" i="1"/>
  <c r="O85" i="1"/>
  <c r="O99" i="1"/>
  <c r="O103" i="1"/>
  <c r="O106" i="1"/>
  <c r="O110" i="1"/>
  <c r="O117" i="1"/>
  <c r="O128" i="1"/>
  <c r="D128" i="1" l="1" a="1"/>
  <c r="D128" i="1" s="1"/>
  <c r="O132" i="1"/>
  <c r="O134" i="1" s="1"/>
</calcChain>
</file>

<file path=xl/sharedStrings.xml><?xml version="1.0" encoding="utf-8"?>
<sst xmlns="http://schemas.openxmlformats.org/spreadsheetml/2006/main" count="181" uniqueCount="134">
  <si>
    <t>DATE:</t>
  </si>
  <si>
    <t>Bill To:</t>
  </si>
  <si>
    <t>Ship To:</t>
  </si>
  <si>
    <t>TOTAL</t>
  </si>
  <si>
    <t>Due Date</t>
    <phoneticPr fontId="6" type="noConversion"/>
  </si>
  <si>
    <t>Terms</t>
    <phoneticPr fontId="6" type="noConversion"/>
  </si>
  <si>
    <t>SoftID</t>
    <phoneticPr fontId="10" type="noConversion"/>
  </si>
  <si>
    <t>DbPath</t>
    <phoneticPr fontId="10" type="noConversion"/>
  </si>
  <si>
    <t>Taxable</t>
    <phoneticPr fontId="6" type="noConversion"/>
  </si>
  <si>
    <t>TOTAL DUE</t>
    <phoneticPr fontId="6" type="noConversion"/>
  </si>
  <si>
    <t>PAID</t>
    <phoneticPr fontId="6" type="noConversion"/>
  </si>
  <si>
    <t>TaxSystem</t>
    <phoneticPr fontId="6" type="noConversion"/>
  </si>
  <si>
    <t>Price</t>
  </si>
  <si>
    <t>Quantity</t>
  </si>
  <si>
    <t>HowToCloseBook</t>
    <phoneticPr fontId="10" type="noConversion"/>
  </si>
  <si>
    <t>Valid Value:</t>
    <phoneticPr fontId="10" type="noConversion"/>
  </si>
  <si>
    <t xml:space="preserve">0=Auto discard changes,  1=AutoSave,   2=DefaultOperation,prompt </t>
    <phoneticPr fontId="10" type="noConversion"/>
  </si>
  <si>
    <t>SavingInvoicePromptForPayment</t>
    <phoneticPr fontId="10" type="noConversion"/>
  </si>
  <si>
    <t>SavingInvoiceClearWorksheet</t>
  </si>
  <si>
    <t>ExtractingReportRemoveRowCol</t>
  </si>
  <si>
    <t>ExtractingInvoiceRemoveRowCol</t>
  </si>
  <si>
    <t>ExtractingProtectWorksheet</t>
  </si>
  <si>
    <t>ExtractingProtectPwd</t>
  </si>
  <si>
    <t>ExtractingEmailInvoice</t>
  </si>
  <si>
    <t>ExtractingWhereToPlaceNewInvoice</t>
  </si>
  <si>
    <t>ExtractingRowsToRemoveOnReportWorksheet</t>
  </si>
  <si>
    <t>InvoiceBodyMinNumber</t>
  </si>
  <si>
    <t>InvoiceBodyMaxNumber</t>
    <phoneticPr fontId="10" type="noConversion"/>
  </si>
  <si>
    <t>ExtractingInvoiceCopyPageSetup</t>
    <phoneticPr fontId="10" type="noConversion"/>
  </si>
  <si>
    <t>Current Database</t>
  </si>
  <si>
    <t>Invoice Status</t>
  </si>
  <si>
    <t>cost</t>
    <phoneticPr fontId="6" type="noConversion"/>
  </si>
  <si>
    <t>Date</t>
  </si>
  <si>
    <t>From:</t>
  </si>
  <si>
    <t>To:</t>
  </si>
  <si>
    <t>Date:</t>
  </si>
  <si>
    <t>Invoice #</t>
  </si>
  <si>
    <t>Subtotal</t>
  </si>
  <si>
    <t>Shipping</t>
  </si>
  <si>
    <t>Total</t>
  </si>
  <si>
    <t>Paid</t>
  </si>
  <si>
    <t>Balance Due</t>
  </si>
  <si>
    <t>Due Date</t>
  </si>
  <si>
    <t>P.O. #</t>
  </si>
  <si>
    <t>Sales Rep.</t>
  </si>
  <si>
    <t>ID:</t>
  </si>
  <si>
    <t>Name:</t>
  </si>
  <si>
    <t>Address:</t>
  </si>
  <si>
    <t>City,ST ZIP:</t>
  </si>
  <si>
    <t>Phone:</t>
  </si>
  <si>
    <t>Country:</t>
  </si>
  <si>
    <t>GST</t>
  </si>
  <si>
    <t>Cost</t>
  </si>
  <si>
    <t>Month</t>
  </si>
  <si>
    <t>Payment Term</t>
  </si>
  <si>
    <t>Customer ID</t>
  </si>
  <si>
    <t>Name</t>
  </si>
  <si>
    <t>Shipping Cost</t>
  </si>
  <si>
    <t>Product ID</t>
  </si>
  <si>
    <t>Description</t>
  </si>
  <si>
    <t>Line Total</t>
  </si>
  <si>
    <t>Unit Cost</t>
  </si>
  <si>
    <t>OkInv 1.0</t>
  </si>
  <si>
    <t>Upgraded to 1028</t>
  </si>
  <si>
    <t>Allow zero line total</t>
  </si>
  <si>
    <t>Allow incomplete line</t>
  </si>
  <si>
    <t>INVOICE:</t>
  </si>
  <si>
    <t xml:space="preserve">P.O. </t>
  </si>
  <si>
    <t>Sales</t>
  </si>
  <si>
    <t>Despatch</t>
  </si>
  <si>
    <t>Method</t>
  </si>
  <si>
    <t>QTY</t>
  </si>
  <si>
    <t>Delivery Charge</t>
  </si>
  <si>
    <t>$C$3</t>
  </si>
  <si>
    <t>NET TOTAL</t>
  </si>
  <si>
    <t>TOTAL (NET)</t>
    <phoneticPr fontId="6" type="noConversion"/>
  </si>
  <si>
    <t>VAT</t>
    <phoneticPr fontId="6" type="noConversion"/>
  </si>
  <si>
    <t>PRICE (ex VAT)</t>
    <phoneticPr fontId="6" type="noConversion"/>
  </si>
  <si>
    <t>Pending</t>
  </si>
  <si>
    <t>Address</t>
  </si>
  <si>
    <t>City, State ZIP</t>
  </si>
  <si>
    <t>Phone</t>
  </si>
  <si>
    <t>#</t>
  </si>
  <si>
    <t>your web site, email, phone numbers</t>
  </si>
  <si>
    <t>BILL TO:</t>
  </si>
  <si>
    <t>(#)</t>
  </si>
  <si>
    <t>City, ST ZIP</t>
  </si>
  <si>
    <t>Country</t>
  </si>
  <si>
    <t>Contact</t>
  </si>
  <si>
    <t>Need a different invoice layout? Visit our invoice template collection.</t>
  </si>
  <si>
    <t>InvoicingTemplates.com</t>
  </si>
  <si>
    <t>Customer</t>
  </si>
  <si>
    <t>Statement Period:</t>
  </si>
  <si>
    <t>TAX INVOICE</t>
  </si>
  <si>
    <t>Registration#</t>
  </si>
  <si>
    <t>THANK YOU FOR YOUR BUSINESS</t>
  </si>
  <si>
    <t>DESCRIPTION / TAXABLE</t>
  </si>
  <si>
    <t>Product #</t>
  </si>
  <si>
    <t>TOTAL (VAT)</t>
  </si>
  <si>
    <t>c6022</t>
  </si>
  <si>
    <t>c6022.mdb</t>
  </si>
  <si>
    <t>Singapore service company name</t>
  </si>
  <si>
    <t>By InvoicingTemplate.com</t>
  </si>
  <si>
    <t>Template URL</t>
  </si>
  <si>
    <t>© 2017 InvoicingTemplate.com / Uniform Software LTD</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</si>
  <si>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</si>
  <si>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</si>
  <si>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Terms of Use to learn how you may or may not use this template. Thank you.</t>
  </si>
  <si>
    <t>See our Terms of Use / Copyright Notic</t>
  </si>
  <si>
    <t>http://www.invoicingtemplate.com/about.html</t>
  </si>
  <si>
    <r>
      <rPr>
        <b/>
        <sz val="12"/>
        <color indexed="8"/>
        <rFont val="Arial"/>
        <family val="2"/>
      </rPr>
      <t>Do not delete this worksheet.</t>
    </r>
    <r>
      <rPr>
        <sz val="12"/>
        <rFont val="Arial"/>
        <family val="2"/>
      </rPr>
      <t xml:space="preserve"> If necessary, you may hide it by right-clicking on the tab and selecting Hide.</t>
    </r>
  </si>
  <si>
    <t>Singapore GST Invoice Template (Service) - c6022</t>
  </si>
  <si>
    <t>Singapore GST Billing Format (Service) - 6, Philadelphia[8], Pennsylvania, 1567872, 1526006, 7000274350166382040?+2.74%, 134.2 sq mi, 347.6 km2, 11,683/sq mi, 4,511/km2, 40°00′34″N 75°08′00″W? / ?40.0094°N 75.1333°W? / 40.0094; -75.1333? (5 Philadelphia)</t>
  </si>
  <si>
    <t>Singapore GST Invoice Template (Service)c6022 - 6, Philadelphia[8], Pennsylvania, 1567872, 1526006, 7000274350166382040?+2.74%, 134.2 sq mi, 347.6 km2, 11,683/sq mi, 4,511/km2, 40°00′34″N 75°08′00″W? / ?40.0094°N 75.1333°W? / 40.0094; -75.1333? (5 Philadelphia)</t>
  </si>
  <si>
    <t>Singapore GST Billing Format (Service) - 7, San Antonio, Texas, 1492510, 1327407, 7001124380088397910?+12.44%, 461.0 sq mi, 1,194.0 km2, 3,238/sq mi, 1,250/km2, 29°28′21″N 98°31′30″W? / ?29.4724°N 98.5251°W? / 29.4724; -98.5251? (7 San Antonio)</t>
  </si>
  <si>
    <t>Singapore GST Invoice Template (Service)c6022 - 7, San Antonio, Texas, 1492510, 1327407, 7001124380088397910?+12.44%, 461.0 sq mi, 1,194.0 km2, 3,238/sq mi, 1,250/km2, 29°28′21″N 98°31′30″W? / ?29.4724°N 98.5251°W? / 29.4724; -98.5251? (7 San Antonio)</t>
  </si>
  <si>
    <t>3FI6I6I5DI1D</t>
  </si>
  <si>
    <t>Sales Report</t>
  </si>
  <si>
    <t xml:space="preserve">Customer Report
</t>
  </si>
  <si>
    <t>Product Report</t>
  </si>
  <si>
    <t>Customer Statement</t>
  </si>
  <si>
    <t>Balance forward</t>
    <phoneticPr fontId="3" type="noConversion"/>
  </si>
  <si>
    <t>Current balance</t>
    <phoneticPr fontId="3" type="noConversion"/>
  </si>
  <si>
    <t>Account Credit</t>
  </si>
  <si>
    <t>Invoice total</t>
    <phoneticPr fontId="3" type="noConversion"/>
  </si>
  <si>
    <t>Payment total</t>
    <phoneticPr fontId="3" type="noConversion"/>
  </si>
  <si>
    <t>Date</t>
    <phoneticPr fontId="3" type="noConversion"/>
  </si>
  <si>
    <t>Description</t>
    <phoneticPr fontId="3" type="noConversion"/>
  </si>
  <si>
    <t>Document#</t>
    <phoneticPr fontId="3" type="noConversion"/>
  </si>
  <si>
    <t>Due Date</t>
    <phoneticPr fontId="3" type="noConversion"/>
  </si>
  <si>
    <t>Status</t>
    <phoneticPr fontId="3" type="noConversion"/>
  </si>
  <si>
    <t>Amount</t>
    <phoneticPr fontId="3" type="noConversion"/>
  </si>
  <si>
    <t>Balance</t>
    <phoneticPr fontId="3" type="noConversion"/>
  </si>
  <si>
    <t>Sales Rep.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</si>
</sst>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 #,##0.00_ ;_ * \-#,##0.00_ ;_ * &quot;-&quot;??_ ;_ @_ "/>
    <numFmt numFmtId="165" formatCode="@\ \ "/>
    <numFmt numFmtId="166" formatCode="_(* #,##0.00_);_(* \(#,##0.00\);;_(@_)"/>
    <numFmt numFmtId="167" formatCode="[$-409]mmmm\ d\,\ yyyy;@"/>
    <numFmt numFmtId="168" formatCode="_ * #,##0.00_ ;_ * \-#,##0.00_ ;_ * &quot;&quot;??_ ;_ @_ "/>
    <numFmt numFmtId="169" formatCode="_-* #,##0.00_ ;_-* \-#,##0.00\ ;_-* &quot;-&quot;??_ ;_-@_ "/>
    <numFmt numFmtId="170" formatCode="_(* #,##0.00_);_(* \(#,##0.00\);_(* &quot;&quot;??_);_(@_)"/>
  </numFmts>
  <fonts count="3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28"/>
      <color indexed="42"/>
      <name val="Arial Black"/>
      <family val="2"/>
    </font>
    <font>
      <sz val="9"/>
      <name val="Arial"/>
      <family val="2"/>
    </font>
    <font>
      <sz val="9"/>
      <name val="宋体"/>
      <charset val="134"/>
    </font>
    <font>
      <u/>
      <sz val="10"/>
      <color indexed="12"/>
      <name val="Arial"/>
      <family val="2"/>
    </font>
    <font>
      <b/>
      <sz val="10"/>
      <color indexed="9"/>
      <name val="Arial"/>
      <family val="2"/>
    </font>
    <font>
      <sz val="10"/>
      <color indexed="9"/>
      <name val="Arial"/>
      <family val="2"/>
    </font>
    <font>
      <sz val="8"/>
      <color indexed="9"/>
      <name val="Arial"/>
      <family val="2"/>
    </font>
    <font>
      <sz val="10"/>
      <name val="Arial"/>
      <family val="2"/>
    </font>
    <font>
      <b/>
      <sz val="9"/>
      <name val="Arial"/>
      <family val="2"/>
    </font>
    <font>
      <i/>
      <sz val="9"/>
      <name val="Arial"/>
      <family val="2"/>
    </font>
    <font>
      <sz val="9"/>
      <name val="Trebuchet MS"/>
      <family val="2"/>
    </font>
    <font>
      <b/>
      <sz val="10"/>
      <color theme="0"/>
      <name val="Arial"/>
      <family val="2"/>
    </font>
    <font>
      <sz val="12"/>
      <color theme="9" tint="-0.499984740745262"/>
      <name val="Arial Black"/>
      <family val="2"/>
    </font>
    <font>
      <sz val="16"/>
      <color theme="9" tint="-0.499984740745262"/>
      <name val="Arial Black"/>
      <family val="2"/>
    </font>
    <font>
      <sz val="10"/>
      <name val="Trebuchet MS"/>
      <family val="2"/>
    </font>
    <font>
      <sz val="18"/>
      <color theme="4"/>
      <name val="Arial"/>
      <family val="2"/>
    </font>
    <font>
      <sz val="12"/>
      <name val="Arial"/>
      <family val="2"/>
    </font>
    <font>
      <b/>
      <sz val="12"/>
      <name val="Arial"/>
      <family val="2"/>
    </font>
    <font>
      <u/>
      <sz val="10"/>
      <color indexed="12"/>
      <name val="Verdana"/>
      <family val="2"/>
    </font>
    <font>
      <b/>
      <sz val="12"/>
      <color indexed="8"/>
      <name val="Arial"/>
      <family val="2"/>
    </font>
    <font>
      <sz val="10"/>
      <name val="Book Antiqua"/>
      <family val="1"/>
    </font>
    <font>
      <b/>
      <sz val="9"/>
      <name val="Book Antiqua"/>
      <family val="1"/>
    </font>
    <font>
      <sz val="10"/>
      <color theme="2" tint="-0.499984740745262"/>
      <name val="Book Antiqua"/>
      <family val="1"/>
    </font>
    <font>
      <sz val="14"/>
      <name val="Arial"/>
      <family val="2"/>
    </font>
    <font>
      <b/>
      <sz val="14"/>
      <name val="Bodoni MT Black"/>
      <family val="1"/>
    </font>
    <font>
      <b/>
      <sz val="14"/>
      <name val="Arial"/>
      <family val="2"/>
    </font>
    <font>
      <sz val="14"/>
      <color indexed="42"/>
      <name val="Arial Black"/>
      <family val="2"/>
    </font>
    <font>
      <b/>
      <sz val="14"/>
      <color theme="4"/>
      <name val="Bodoni MT Black"/>
      <family val="1"/>
    </font>
    <font>
      <sz val="14"/>
      <name val="Bodoni MT Black"/>
      <family val="1"/>
    </font>
    <font>
      <sz val="14"/>
      <color theme="4"/>
      <name val="Bodoni MT Black"/>
      <family val="1"/>
    </font>
    <font>
      <sz val="14"/>
      <color indexed="42"/>
      <name val="Bodoni MT Black"/>
      <family val="1"/>
    </font>
  </fonts>
  <fills count="13">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bgColor indexed="64"/>
      </patternFill>
    </fill>
    <fill>
      <gradientFill type="path">
        <stop position="0">
          <color theme="4" tint="0.80001220740379042"/>
        </stop>
        <stop position="1">
          <color theme="4"/>
        </stop>
      </gradientFill>
    </fill>
    <fill>
      <patternFill patternType="solid">
        <fgColor theme="3" tint="0.59999389629810485"/>
        <bgColor indexed="64"/>
      </patternFill>
    </fill>
    <fill>
      <patternFill patternType="solid">
        <fgColor theme="4" tint="0.39997558519241921"/>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8">
    <xf numFmtId="0" fontId="0" fillId="0" borderId="0"/>
    <xf numFmtId="0" fontId="11" fillId="0" borderId="0" applyNumberFormat="0" applyFill="0" applyBorder="0" applyAlignment="0" applyProtection="0">
      <alignment vertical="top"/>
      <protection locked="0"/>
    </xf>
    <xf numFmtId="0" fontId="22" fillId="0" borderId="0"/>
    <xf numFmtId="0" fontId="4" fillId="0" borderId="0"/>
    <xf numFmtId="0" fontId="26"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230">
    <xf numFmtId="0" fontId="0" fillId="0" borderId="0" xfId="0"/>
    <xf numFmtId="0" fontId="0" fillId="0" borderId="0" xfId="0" applyAlignment="1">
      <alignment horizontal="left"/>
    </xf>
    <xf numFmtId="0" fontId="0" fillId="0" borderId="0" xfId="0" applyAlignment="1">
      <alignment vertical="center"/>
    </xf>
    <xf numFmtId="0" fontId="0" fillId="0" borderId="0" xfId="0" applyBorder="1" applyAlignment="1">
      <alignment horizontal="left" vertical="center"/>
    </xf>
    <xf numFmtId="165" fontId="0" fillId="0" borderId="0" xfId="0" applyNumberFormat="1" applyBorder="1" applyAlignment="1">
      <alignment horizontal="right" vertical="center"/>
    </xf>
    <xf numFmtId="165" fontId="6" fillId="0" borderId="0" xfId="0" applyNumberFormat="1" applyFont="1" applyAlignment="1">
      <alignment horizontal="right" vertical="center"/>
    </xf>
    <xf numFmtId="0" fontId="0" fillId="0" borderId="0" xfId="0" applyAlignment="1"/>
    <xf numFmtId="0" fontId="6" fillId="0" borderId="0" xfId="0" applyFont="1" applyAlignment="1"/>
    <xf numFmtId="0" fontId="6" fillId="0" borderId="0" xfId="0" applyFont="1" applyAlignment="1">
      <alignment horizontal="left"/>
    </xf>
    <xf numFmtId="0" fontId="0" fillId="0" borderId="0" xfId="0" applyFill="1"/>
    <xf numFmtId="0" fontId="8" fillId="0" borderId="0" xfId="0" applyFont="1" applyFill="1" applyAlignment="1">
      <alignment horizontal="right"/>
    </xf>
    <xf numFmtId="167" fontId="0" fillId="0" borderId="0" xfId="0" applyNumberFormat="1" applyFill="1" applyAlignment="1">
      <alignment horizontal="left" shrinkToFit="1"/>
    </xf>
    <xf numFmtId="0" fontId="0" fillId="0" borderId="0" xfId="0" applyFill="1" applyAlignment="1">
      <alignment horizontal="left"/>
    </xf>
    <xf numFmtId="0" fontId="6"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44" fontId="0" fillId="0" borderId="0" xfId="0" applyNumberFormat="1" applyFill="1" applyBorder="1" applyAlignment="1">
      <alignment horizontal="left" vertical="center"/>
    </xf>
    <xf numFmtId="166" fontId="0" fillId="0" borderId="0" xfId="0" applyNumberFormat="1" applyFill="1" applyBorder="1" applyAlignment="1">
      <alignment horizontal="left" vertical="center"/>
    </xf>
    <xf numFmtId="10" fontId="0" fillId="0" borderId="0" xfId="0" applyNumberFormat="1" applyFill="1" applyBorder="1" applyAlignment="1">
      <alignment horizontal="right" vertical="center"/>
    </xf>
    <xf numFmtId="43" fontId="0" fillId="0" borderId="0" xfId="0" applyNumberFormat="1" applyFill="1" applyBorder="1" applyAlignment="1">
      <alignment horizontal="left" vertical="center"/>
    </xf>
    <xf numFmtId="0" fontId="0" fillId="0" borderId="0" xfId="0" applyFill="1" applyAlignment="1"/>
    <xf numFmtId="0" fontId="6" fillId="0" borderId="0" xfId="0" applyFont="1" applyAlignment="1">
      <alignment horizontal="right" indent="1"/>
    </xf>
    <xf numFmtId="0" fontId="9" fillId="0" borderId="0" xfId="0" applyFont="1"/>
    <xf numFmtId="0" fontId="0" fillId="0" borderId="0" xfId="0" applyAlignment="1" applyProtection="1">
      <alignment vertical="center"/>
      <protection locked="0" hidden="1"/>
    </xf>
    <xf numFmtId="0" fontId="0" fillId="0" borderId="0" xfId="0" applyAlignment="1" applyProtection="1">
      <alignment vertical="center"/>
      <protection locked="0"/>
    </xf>
    <xf numFmtId="0" fontId="7" fillId="0" borderId="3" xfId="0" applyNumberFormat="1" applyFont="1" applyBorder="1" applyAlignment="1" applyProtection="1">
      <alignment horizontal="center" vertical="center"/>
      <protection locked="0"/>
    </xf>
    <xf numFmtId="0" fontId="0" fillId="0" borderId="0" xfId="0" applyProtection="1">
      <protection locked="0" hidden="1"/>
    </xf>
    <xf numFmtId="0" fontId="0" fillId="0" borderId="0" xfId="0" applyNumberFormat="1" applyProtection="1">
      <protection locked="0" hidden="1"/>
    </xf>
    <xf numFmtId="0" fontId="0" fillId="0" borderId="0" xfId="0" applyAlignment="1" applyProtection="1">
      <alignment horizontal="right"/>
      <protection locked="0" hidden="1"/>
    </xf>
    <xf numFmtId="0" fontId="0" fillId="0" borderId="0" xfId="0" applyAlignment="1" applyProtection="1">
      <protection locked="0" hidden="1"/>
    </xf>
    <xf numFmtId="0" fontId="0" fillId="0" borderId="0" xfId="0" applyNumberFormat="1"/>
    <xf numFmtId="0" fontId="9" fillId="0" borderId="0" xfId="0" applyNumberFormat="1" applyFont="1" applyAlignment="1">
      <alignment horizontal="right"/>
    </xf>
    <xf numFmtId="0" fontId="9" fillId="0" borderId="0" xfId="0" applyNumberFormat="1" applyFont="1"/>
    <xf numFmtId="0" fontId="0" fillId="0" borderId="0" xfId="0" applyAlignment="1" applyProtection="1">
      <alignment vertical="center"/>
      <protection hidden="1"/>
    </xf>
    <xf numFmtId="10" fontId="0" fillId="0" borderId="0" xfId="0" applyNumberFormat="1" applyBorder="1" applyAlignment="1" applyProtection="1">
      <alignment horizontal="right" vertical="center" indent="1"/>
      <protection locked="0"/>
    </xf>
    <xf numFmtId="0" fontId="9" fillId="0" borderId="0" xfId="0" applyFont="1" applyAlignment="1">
      <alignment horizontal="center"/>
    </xf>
    <xf numFmtId="164" fontId="9" fillId="0" borderId="0" xfId="0" applyNumberFormat="1" applyFont="1"/>
    <xf numFmtId="0" fontId="9" fillId="0" borderId="0" xfId="0" applyFont="1" applyAlignment="1">
      <alignment horizontal="left" indent="1"/>
    </xf>
    <xf numFmtId="0" fontId="16" fillId="2" borderId="3" xfId="0" applyFont="1" applyFill="1" applyBorder="1" applyAlignment="1">
      <alignment horizontal="center"/>
    </xf>
    <xf numFmtId="43" fontId="0" fillId="0" borderId="4" xfId="0" applyNumberFormat="1" applyFill="1" applyBorder="1" applyAlignment="1" applyProtection="1">
      <alignment horizontal="right" vertical="center"/>
      <protection hidden="1"/>
    </xf>
    <xf numFmtId="43" fontId="0" fillId="0" borderId="4" xfId="0" applyNumberFormat="1" applyFill="1" applyBorder="1" applyAlignment="1" applyProtection="1">
      <alignment horizontal="right" vertical="center"/>
      <protection locked="0"/>
    </xf>
    <xf numFmtId="43" fontId="0" fillId="0" borderId="3" xfId="0" applyNumberFormat="1" applyFill="1" applyBorder="1" applyAlignment="1" applyProtection="1">
      <alignment horizontal="right" vertical="center"/>
      <protection hidden="1"/>
    </xf>
    <xf numFmtId="43" fontId="0" fillId="0" borderId="3" xfId="0" applyNumberFormat="1" applyFill="1" applyBorder="1" applyAlignment="1" applyProtection="1">
      <alignment horizontal="right"/>
      <protection locked="0"/>
    </xf>
    <xf numFmtId="43" fontId="0" fillId="0" borderId="3" xfId="0" applyNumberFormat="1" applyFill="1" applyBorder="1" applyAlignment="1" applyProtection="1">
      <alignment horizontal="right"/>
      <protection hidden="1"/>
    </xf>
    <xf numFmtId="0" fontId="9" fillId="0" borderId="0" xfId="0" applyFont="1" applyAlignment="1">
      <alignment horizontal="right"/>
    </xf>
    <xf numFmtId="0" fontId="0" fillId="0" borderId="0" xfId="0" applyAlignment="1" applyProtection="1">
      <protection locked="0"/>
    </xf>
    <xf numFmtId="0" fontId="0" fillId="0" borderId="0" xfId="0" applyAlignment="1" applyProtection="1"/>
    <xf numFmtId="0" fontId="0" fillId="0" borderId="0" xfId="0" applyProtection="1"/>
    <xf numFmtId="0" fontId="0" fillId="0" borderId="0" xfId="0" applyAlignment="1" applyProtection="1">
      <alignment vertical="center"/>
    </xf>
    <xf numFmtId="4" fontId="16" fillId="2" borderId="3" xfId="0" applyNumberFormat="1" applyFont="1" applyFill="1" applyBorder="1" applyAlignment="1">
      <alignment horizontal="center"/>
    </xf>
    <xf numFmtId="4" fontId="9" fillId="0" borderId="0" xfId="0" applyNumberFormat="1" applyFont="1"/>
    <xf numFmtId="0" fontId="9" fillId="0" borderId="0" xfId="0" applyFont="1" applyAlignment="1">
      <alignment horizontal="left"/>
    </xf>
    <xf numFmtId="14" fontId="17" fillId="0" borderId="0" xfId="0" applyNumberFormat="1" applyFont="1" applyAlignment="1">
      <alignment horizontal="left" indent="1"/>
    </xf>
    <xf numFmtId="0" fontId="16" fillId="0" borderId="0" xfId="0" applyFont="1" applyAlignment="1">
      <alignment horizontal="left"/>
    </xf>
    <xf numFmtId="40" fontId="9" fillId="0" borderId="0" xfId="0" applyNumberFormat="1" applyFont="1"/>
    <xf numFmtId="4" fontId="9" fillId="0" borderId="0" xfId="0" applyNumberFormat="1" applyFont="1" applyAlignment="1">
      <alignment horizontal="left"/>
    </xf>
    <xf numFmtId="14" fontId="9" fillId="0" borderId="0" xfId="0" applyNumberFormat="1" applyFont="1" applyAlignment="1">
      <alignment horizontal="left"/>
    </xf>
    <xf numFmtId="0" fontId="12" fillId="0" borderId="0" xfId="0" applyFont="1" applyFill="1" applyAlignment="1" applyProtection="1">
      <alignment horizontal="center"/>
    </xf>
    <xf numFmtId="0" fontId="13" fillId="0" borderId="0" xfId="0" applyFont="1" applyFill="1" applyAlignment="1" applyProtection="1">
      <alignment horizontal="center"/>
      <protection locked="0"/>
    </xf>
    <xf numFmtId="0" fontId="15" fillId="0" borderId="0" xfId="0" applyFont="1" applyFill="1" applyProtection="1"/>
    <xf numFmtId="0" fontId="12" fillId="0" borderId="0" xfId="0" applyFont="1" applyFill="1" applyAlignment="1">
      <alignment horizontal="center"/>
    </xf>
    <xf numFmtId="169" fontId="14" fillId="0" borderId="0" xfId="0" applyNumberFormat="1" applyFont="1" applyFill="1"/>
    <xf numFmtId="0" fontId="15" fillId="0" borderId="0" xfId="0" applyFont="1" applyFill="1" applyAlignment="1">
      <alignment vertical="center"/>
    </xf>
    <xf numFmtId="0" fontId="15" fillId="0" borderId="0" xfId="0" applyFont="1" applyFill="1" applyAlignment="1" applyProtection="1">
      <alignment vertical="center"/>
    </xf>
    <xf numFmtId="0" fontId="15" fillId="0" borderId="0" xfId="0" applyFont="1" applyFill="1" applyAlignment="1" applyProtection="1"/>
    <xf numFmtId="14" fontId="7" fillId="0" borderId="1" xfId="0" applyNumberFormat="1" applyFont="1" applyBorder="1" applyAlignment="1" applyProtection="1">
      <alignment horizontal="center" vertical="center"/>
      <protection locked="0"/>
    </xf>
    <xf numFmtId="170" fontId="9" fillId="0" borderId="5" xfId="0" applyNumberFormat="1" applyFont="1" applyFill="1" applyBorder="1" applyAlignment="1" applyProtection="1">
      <alignment horizontal="left" vertical="center"/>
      <protection hidden="1"/>
    </xf>
    <xf numFmtId="170" fontId="9" fillId="3" borderId="6" xfId="0" applyNumberFormat="1" applyFont="1" applyFill="1" applyBorder="1" applyAlignment="1" applyProtection="1">
      <alignment horizontal="left" vertical="center"/>
      <protection hidden="1"/>
    </xf>
    <xf numFmtId="170" fontId="9" fillId="0" borderId="6" xfId="0" applyNumberFormat="1" applyFont="1" applyFill="1" applyBorder="1" applyAlignment="1" applyProtection="1">
      <alignment horizontal="left" vertical="center"/>
      <protection hidden="1"/>
    </xf>
    <xf numFmtId="170" fontId="9" fillId="3" borderId="4" xfId="0" applyNumberFormat="1" applyFont="1" applyFill="1" applyBorder="1" applyAlignment="1" applyProtection="1">
      <alignment horizontal="left" vertical="center"/>
      <protection hidden="1"/>
    </xf>
    <xf numFmtId="170" fontId="9" fillId="0" borderId="7" xfId="0" applyNumberFormat="1" applyFont="1" applyFill="1" applyBorder="1" applyAlignment="1" applyProtection="1">
      <alignment horizontal="left" vertical="center"/>
      <protection hidden="1"/>
    </xf>
    <xf numFmtId="170" fontId="9" fillId="0" borderId="8" xfId="0" applyNumberFormat="1" applyFont="1" applyFill="1" applyBorder="1" applyAlignment="1" applyProtection="1">
      <alignment horizontal="left" vertical="center"/>
      <protection hidden="1"/>
    </xf>
    <xf numFmtId="0" fontId="18" fillId="0" borderId="0" xfId="0" applyFont="1"/>
    <xf numFmtId="165" fontId="5" fillId="0" borderId="0" xfId="0" applyNumberFormat="1" applyFont="1" applyBorder="1" applyAlignment="1">
      <alignment horizontal="right" vertical="center"/>
    </xf>
    <xf numFmtId="0" fontId="9" fillId="0" borderId="5" xfId="0" applyFont="1" applyBorder="1" applyAlignment="1" applyProtection="1">
      <alignment horizontal="right" vertical="center"/>
      <protection locked="0" hidden="1"/>
    </xf>
    <xf numFmtId="0" fontId="9" fillId="3" borderId="6" xfId="0" applyFont="1" applyFill="1" applyBorder="1" applyAlignment="1" applyProtection="1">
      <alignment horizontal="right" vertical="center"/>
      <protection locked="0" hidden="1"/>
    </xf>
    <xf numFmtId="0" fontId="9" fillId="0" borderId="6" xfId="0" applyFont="1" applyBorder="1" applyAlignment="1" applyProtection="1">
      <alignment horizontal="right" vertical="center"/>
      <protection locked="0" hidden="1"/>
    </xf>
    <xf numFmtId="0" fontId="9" fillId="0" borderId="7" xfId="0" applyFont="1" applyBorder="1" applyAlignment="1" applyProtection="1">
      <alignment horizontal="right" vertical="center"/>
      <protection locked="0" hidden="1"/>
    </xf>
    <xf numFmtId="0" fontId="9" fillId="0" borderId="8" xfId="0" applyFont="1" applyBorder="1" applyAlignment="1" applyProtection="1">
      <alignment horizontal="right" vertical="center"/>
      <protection locked="0" hidden="1"/>
    </xf>
    <xf numFmtId="0" fontId="9" fillId="3" borderId="4" xfId="0" applyFont="1" applyFill="1" applyBorder="1" applyAlignment="1" applyProtection="1">
      <alignment horizontal="right" vertical="center"/>
      <protection locked="0" hidden="1"/>
    </xf>
    <xf numFmtId="168" fontId="9" fillId="0" borderId="5" xfId="0" applyNumberFormat="1" applyFont="1" applyBorder="1" applyAlignment="1" applyProtection="1">
      <alignment horizontal="right" vertical="center" indent="1"/>
    </xf>
    <xf numFmtId="168" fontId="9" fillId="3" borderId="7" xfId="0" applyNumberFormat="1" applyFont="1" applyFill="1" applyBorder="1" applyAlignment="1" applyProtection="1">
      <alignment horizontal="right" vertical="center" indent="1"/>
    </xf>
    <xf numFmtId="168" fontId="9" fillId="0" borderId="7" xfId="0" applyNumberFormat="1" applyFont="1" applyBorder="1" applyAlignment="1" applyProtection="1">
      <alignment horizontal="right" vertical="center" indent="1"/>
    </xf>
    <xf numFmtId="168" fontId="9" fillId="0" borderId="8" xfId="0" applyNumberFormat="1" applyFont="1" applyBorder="1" applyAlignment="1" applyProtection="1">
      <alignment horizontal="right" vertical="center" indent="1"/>
    </xf>
    <xf numFmtId="168" fontId="9" fillId="3" borderId="8" xfId="0" applyNumberFormat="1" applyFont="1" applyFill="1" applyBorder="1" applyAlignment="1" applyProtection="1">
      <alignment horizontal="right" vertical="center" indent="1"/>
    </xf>
    <xf numFmtId="0" fontId="17" fillId="0" borderId="0" xfId="0" applyFont="1" applyAlignment="1">
      <alignment horizontal="right"/>
    </xf>
    <xf numFmtId="14" fontId="9" fillId="0" borderId="0" xfId="0" applyNumberFormat="1" applyFont="1" applyAlignment="1">
      <alignment horizontal="right"/>
    </xf>
    <xf numFmtId="14" fontId="16" fillId="0" borderId="0" xfId="0" applyNumberFormat="1" applyFont="1" applyAlignment="1">
      <alignment horizontal="right"/>
    </xf>
    <xf numFmtId="164" fontId="9" fillId="0" borderId="15" xfId="0" applyNumberFormat="1" applyFont="1" applyBorder="1" applyProtection="1">
      <protection locked="0"/>
    </xf>
    <xf numFmtId="164" fontId="9" fillId="0" borderId="4" xfId="0" applyNumberFormat="1" applyFont="1" applyBorder="1" applyProtection="1">
      <protection locked="0"/>
    </xf>
    <xf numFmtId="14" fontId="16" fillId="0" borderId="0" xfId="0" applyNumberFormat="1" applyFont="1" applyAlignment="1">
      <alignment horizontal="left"/>
    </xf>
    <xf numFmtId="0" fontId="0" fillId="6" borderId="0" xfId="0" applyFill="1"/>
    <xf numFmtId="0" fontId="5" fillId="6" borderId="0" xfId="0" applyFont="1" applyFill="1"/>
    <xf numFmtId="0" fontId="0" fillId="6" borderId="0" xfId="0" applyFill="1" applyAlignment="1">
      <alignment vertical="center"/>
    </xf>
    <xf numFmtId="0" fontId="5" fillId="6" borderId="0" xfId="0" applyFont="1" applyFill="1" applyAlignment="1">
      <alignment vertical="center"/>
    </xf>
    <xf numFmtId="0" fontId="6" fillId="6" borderId="0" xfId="0" applyFont="1" applyFill="1" applyAlignment="1">
      <alignment horizontal="right" vertical="center"/>
    </xf>
    <xf numFmtId="0" fontId="7" fillId="6" borderId="0" xfId="0" applyFont="1" applyFill="1" applyAlignment="1">
      <alignment vertical="center"/>
    </xf>
    <xf numFmtId="0" fontId="7" fillId="6" borderId="0" xfId="0" applyFont="1" applyFill="1"/>
    <xf numFmtId="0" fontId="0" fillId="6" borderId="0" xfId="0" applyFill="1" applyAlignment="1"/>
    <xf numFmtId="0" fontId="7" fillId="6" borderId="0" xfId="0" applyFont="1" applyFill="1" applyAlignment="1"/>
    <xf numFmtId="0" fontId="5" fillId="6" borderId="0" xfId="0" applyFont="1" applyFill="1" applyProtection="1"/>
    <xf numFmtId="0" fontId="7" fillId="6" borderId="0" xfId="0" applyFont="1" applyFill="1" applyProtection="1"/>
    <xf numFmtId="0" fontId="6" fillId="6" borderId="0" xfId="0" applyFont="1" applyFill="1" applyBorder="1" applyAlignment="1" applyProtection="1">
      <alignment horizontal="center" vertical="center"/>
    </xf>
    <xf numFmtId="0" fontId="0" fillId="0" borderId="0" xfId="0" applyBorder="1" applyAlignment="1">
      <alignment vertical="center"/>
    </xf>
    <xf numFmtId="1" fontId="7" fillId="7" borderId="0" xfId="0" applyNumberFormat="1" applyFont="1" applyFill="1" applyBorder="1" applyAlignment="1" applyProtection="1">
      <alignment horizontal="left" vertical="center"/>
      <protection locked="0"/>
    </xf>
    <xf numFmtId="0" fontId="20" fillId="0" borderId="0" xfId="0" applyFont="1" applyAlignment="1">
      <alignment horizontal="left"/>
    </xf>
    <xf numFmtId="0" fontId="21" fillId="0" borderId="0" xfId="0" applyFont="1" applyAlignment="1">
      <alignment horizontal="right"/>
    </xf>
    <xf numFmtId="0" fontId="5" fillId="0" borderId="16" xfId="2" applyFont="1" applyBorder="1"/>
    <xf numFmtId="0" fontId="23" fillId="0" borderId="17" xfId="2" applyFont="1" applyFill="1" applyBorder="1" applyAlignment="1">
      <alignment horizontal="left" vertical="center"/>
    </xf>
    <xf numFmtId="0" fontId="22" fillId="0" borderId="16" xfId="2" applyBorder="1"/>
    <xf numFmtId="0" fontId="22" fillId="0" borderId="0" xfId="2"/>
    <xf numFmtId="0" fontId="24" fillId="0" borderId="18" xfId="2" applyFont="1" applyBorder="1" applyAlignment="1">
      <alignment horizontal="left" wrapText="1" indent="1"/>
    </xf>
    <xf numFmtId="0" fontId="24" fillId="0" borderId="16" xfId="2" applyFont="1" applyBorder="1"/>
    <xf numFmtId="0" fontId="24" fillId="0" borderId="16" xfId="2" applyFont="1" applyBorder="1" applyAlignment="1">
      <alignment horizontal="left" wrapText="1"/>
    </xf>
    <xf numFmtId="0" fontId="25" fillId="0" borderId="16" xfId="2" applyFont="1" applyBorder="1" applyAlignment="1">
      <alignment horizontal="left" wrapText="1"/>
    </xf>
    <xf numFmtId="0" fontId="26" fillId="0" borderId="16" xfId="4" applyBorder="1" applyAlignment="1" applyProtection="1">
      <alignment horizontal="left" wrapText="1"/>
    </xf>
    <xf numFmtId="0" fontId="24" fillId="0" borderId="16" xfId="2" applyFont="1" applyBorder="1" applyAlignment="1">
      <alignment horizontal="left"/>
    </xf>
    <xf numFmtId="0" fontId="5" fillId="0" borderId="0" xfId="2" applyFont="1"/>
    <xf numFmtId="0" fontId="11" fillId="0" borderId="0" xfId="1" applyAlignment="1" applyProtection="1"/>
    <xf numFmtId="0" fontId="11" fillId="0" borderId="0" xfId="1" applyFill="1" applyAlignment="1" applyProtection="1"/>
    <xf numFmtId="0" fontId="1" fillId="0" borderId="0" xfId="7"/>
    <xf numFmtId="0" fontId="0" fillId="0" borderId="0" xfId="0" applyAlignment="1" applyProtection="1">
      <alignment horizontal="right" vertical="center"/>
      <protection locked="0"/>
    </xf>
    <xf numFmtId="0" fontId="28" fillId="8" borderId="0" xfId="0" applyFont="1" applyFill="1" applyAlignment="1" applyProtection="1">
      <alignment horizontal="left" vertical="center"/>
      <protection locked="0" hidden="1"/>
    </xf>
    <xf numFmtId="0" fontId="28" fillId="8" borderId="0" xfId="0" applyFont="1" applyFill="1" applyAlignment="1">
      <alignment horizontal="left" vertical="center"/>
    </xf>
    <xf numFmtId="0" fontId="28" fillId="9" borderId="0" xfId="0" applyFont="1" applyFill="1" applyAlignment="1" applyProtection="1">
      <alignment horizontal="center" vertical="center"/>
      <protection locked="0" hidden="1"/>
    </xf>
    <xf numFmtId="0" fontId="28" fillId="9" borderId="0" xfId="0" applyFont="1" applyFill="1" applyAlignment="1">
      <alignment horizontal="center" vertical="center"/>
    </xf>
    <xf numFmtId="0" fontId="30" fillId="9" borderId="0" xfId="0" applyFont="1" applyFill="1" applyAlignment="1" applyProtection="1">
      <alignment horizontal="center" vertical="center"/>
      <protection locked="0"/>
    </xf>
    <xf numFmtId="0" fontId="6" fillId="11" borderId="1"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2" xfId="0" applyFont="1" applyFill="1" applyBorder="1" applyAlignment="1">
      <alignment horizontal="center" vertical="center"/>
    </xf>
    <xf numFmtId="0" fontId="0" fillId="0" borderId="0" xfId="0" applyFill="1" applyAlignment="1">
      <alignment vertical="center"/>
    </xf>
    <xf numFmtId="0" fontId="9" fillId="8" borderId="0" xfId="0" applyFont="1" applyFill="1"/>
    <xf numFmtId="14" fontId="9" fillId="8" borderId="0" xfId="0" applyNumberFormat="1" applyFont="1" applyFill="1"/>
    <xf numFmtId="4" fontId="9" fillId="8" borderId="0" xfId="0" applyNumberFormat="1" applyFont="1" applyFill="1"/>
    <xf numFmtId="0" fontId="9" fillId="8" borderId="0" xfId="0" applyFont="1" applyFill="1" applyAlignment="1">
      <alignment horizontal="center"/>
    </xf>
    <xf numFmtId="0" fontId="9" fillId="9" borderId="0" xfId="0" applyFont="1" applyFill="1"/>
    <xf numFmtId="14" fontId="9" fillId="0" borderId="0" xfId="0" applyNumberFormat="1" applyFont="1"/>
    <xf numFmtId="0" fontId="31" fillId="0" borderId="0" xfId="0" applyFont="1"/>
    <xf numFmtId="0" fontId="32" fillId="0" borderId="0" xfId="0" applyFont="1" applyAlignment="1">
      <alignment horizontal="left" vertical="center"/>
    </xf>
    <xf numFmtId="14" fontId="33" fillId="0" borderId="0" xfId="0" applyNumberFormat="1" applyFont="1"/>
    <xf numFmtId="4" fontId="31" fillId="0" borderId="0" xfId="0" applyNumberFormat="1" applyFont="1"/>
    <xf numFmtId="0" fontId="31" fillId="0" borderId="0" xfId="0" applyFont="1" applyAlignment="1">
      <alignment horizontal="center"/>
    </xf>
    <xf numFmtId="4" fontId="34" fillId="0" borderId="0" xfId="0" applyNumberFormat="1" applyFont="1"/>
    <xf numFmtId="0" fontId="35" fillId="0" borderId="0" xfId="0" applyFont="1" applyAlignment="1">
      <alignment horizontal="left" vertical="center"/>
    </xf>
    <xf numFmtId="4" fontId="9" fillId="0" borderId="0" xfId="0" applyNumberFormat="1" applyFont="1" applyAlignment="1">
      <alignment shrinkToFit="1"/>
    </xf>
    <xf numFmtId="4" fontId="16" fillId="0" borderId="0" xfId="0" applyNumberFormat="1" applyFont="1"/>
    <xf numFmtId="0" fontId="16" fillId="0" borderId="0" xfId="0" applyFont="1"/>
    <xf numFmtId="0" fontId="9" fillId="0" borderId="0" xfId="0" applyFont="1" applyAlignment="1">
      <alignment horizontal="right" indent="1"/>
    </xf>
    <xf numFmtId="14" fontId="17" fillId="0" borderId="0" xfId="0" applyNumberFormat="1" applyFont="1"/>
    <xf numFmtId="0" fontId="16" fillId="6" borderId="3" xfId="0" applyFont="1" applyFill="1" applyBorder="1"/>
    <xf numFmtId="14" fontId="16" fillId="6" borderId="3" xfId="0" applyNumberFormat="1" applyFont="1" applyFill="1" applyBorder="1" applyAlignment="1">
      <alignment horizontal="center"/>
    </xf>
    <xf numFmtId="4" fontId="16" fillId="6" borderId="3" xfId="0" applyNumberFormat="1" applyFont="1" applyFill="1" applyBorder="1" applyAlignment="1">
      <alignment horizontal="center"/>
    </xf>
    <xf numFmtId="0" fontId="16" fillId="6" borderId="3" xfId="0" applyFont="1" applyFill="1" applyBorder="1" applyAlignment="1">
      <alignment horizontal="center"/>
    </xf>
    <xf numFmtId="17" fontId="9" fillId="0" borderId="0" xfId="0" applyNumberFormat="1" applyFont="1"/>
    <xf numFmtId="0" fontId="36" fillId="0" borderId="0" xfId="0" applyFont="1" applyAlignment="1">
      <alignment vertical="center"/>
    </xf>
    <xf numFmtId="0" fontId="32" fillId="0" borderId="0" xfId="0" applyFont="1" applyAlignment="1">
      <alignment vertical="center"/>
    </xf>
    <xf numFmtId="14" fontId="32" fillId="0" borderId="0" xfId="0" applyNumberFormat="1"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4" fontId="36" fillId="0" borderId="0" xfId="0" applyNumberFormat="1" applyFont="1" applyAlignment="1">
      <alignment vertical="center"/>
    </xf>
    <xf numFmtId="0" fontId="16" fillId="12" borderId="3" xfId="0" applyFont="1" applyFill="1" applyBorder="1" applyAlignment="1">
      <alignment horizontal="center"/>
    </xf>
    <xf numFmtId="14" fontId="16" fillId="12" borderId="3" xfId="0" applyNumberFormat="1" applyFont="1" applyFill="1" applyBorder="1" applyAlignment="1">
      <alignment horizontal="center"/>
    </xf>
    <xf numFmtId="4" fontId="16" fillId="12" borderId="3" xfId="0" applyNumberFormat="1" applyFont="1" applyFill="1" applyBorder="1" applyAlignment="1">
      <alignment horizontal="center"/>
    </xf>
    <xf numFmtId="0" fontId="38" fillId="0" borderId="0" xfId="0" applyFont="1" applyAlignment="1">
      <alignment horizontal="right" vertical="center"/>
    </xf>
    <xf numFmtId="167" fontId="9" fillId="0" borderId="0" xfId="0" applyNumberFormat="1" applyFont="1" applyAlignment="1">
      <alignment horizontal="left" shrinkToFit="1"/>
    </xf>
    <xf numFmtId="164" fontId="16" fillId="6" borderId="3" xfId="0" applyNumberFormat="1" applyFont="1" applyFill="1" applyBorder="1" applyAlignment="1">
      <alignment horizontal="center"/>
    </xf>
    <xf numFmtId="49" fontId="9" fillId="0" borderId="0" xfId="0" applyNumberFormat="1" applyFont="1"/>
    <xf numFmtId="0" fontId="36" fillId="0" borderId="0" xfId="0" applyFont="1"/>
    <xf numFmtId="14" fontId="32" fillId="0" borderId="0" xfId="0" applyNumberFormat="1" applyFont="1"/>
    <xf numFmtId="49" fontId="36" fillId="0" borderId="0" xfId="0" applyNumberFormat="1" applyFont="1" applyAlignment="1">
      <alignment horizontal="left"/>
    </xf>
    <xf numFmtId="4" fontId="36" fillId="0" borderId="0" xfId="0" applyNumberFormat="1" applyFont="1" applyAlignment="1">
      <alignment horizontal="left"/>
    </xf>
    <xf numFmtId="49" fontId="9" fillId="0" borderId="0" xfId="0" applyNumberFormat="1" applyFont="1" applyAlignment="1">
      <alignment horizontal="left"/>
    </xf>
    <xf numFmtId="164" fontId="9" fillId="0" borderId="6" xfId="0" applyNumberFormat="1" applyFont="1" applyBorder="1" applyProtection="1">
      <protection locked="0"/>
    </xf>
    <xf numFmtId="0" fontId="9" fillId="0" borderId="0" xfId="0" applyFont="1" applyAlignment="1">
      <alignment wrapText="1"/>
    </xf>
    <xf numFmtId="14" fontId="16" fillId="6" borderId="13" xfId="0" applyNumberFormat="1" applyFont="1" applyFill="1" applyBorder="1" applyAlignment="1">
      <alignment horizontal="left" indent="1"/>
    </xf>
    <xf numFmtId="164" fontId="16" fillId="6" borderId="8" xfId="0" applyNumberFormat="1" applyFont="1" applyFill="1" applyBorder="1" applyAlignment="1">
      <alignment horizontal="left" indent="1"/>
    </xf>
    <xf numFmtId="49" fontId="16" fillId="6" borderId="3" xfId="0" applyNumberFormat="1" applyFont="1" applyFill="1" applyBorder="1" applyAlignment="1">
      <alignment horizontal="center"/>
    </xf>
    <xf numFmtId="0" fontId="19" fillId="4" borderId="0" xfId="0" applyFont="1" applyFill="1" applyAlignment="1">
      <alignment horizontal="center" vertical="center" wrapText="1"/>
    </xf>
    <xf numFmtId="167" fontId="0" fillId="0" borderId="0" xfId="0" applyNumberFormat="1" applyAlignment="1" applyProtection="1">
      <alignment horizontal="left" shrinkToFit="1"/>
      <protection locked="0"/>
    </xf>
    <xf numFmtId="0" fontId="6" fillId="0" borderId="0" xfId="0" applyFont="1" applyAlignment="1" applyProtection="1">
      <alignment horizontal="left"/>
      <protection locked="0"/>
    </xf>
    <xf numFmtId="0" fontId="6" fillId="11" borderId="1" xfId="0" applyFont="1" applyFill="1" applyBorder="1" applyAlignment="1">
      <alignment horizontal="center" vertical="center"/>
    </xf>
    <xf numFmtId="0" fontId="6" fillId="11" borderId="2" xfId="0" applyFont="1" applyFill="1" applyBorder="1" applyAlignment="1">
      <alignment horizontal="center" vertical="center"/>
    </xf>
    <xf numFmtId="0" fontId="7" fillId="0" borderId="1" xfId="0" applyNumberFormat="1" applyFont="1" applyBorder="1" applyAlignment="1" applyProtection="1">
      <alignment horizontal="center" vertical="center"/>
      <protection locked="0"/>
    </xf>
    <xf numFmtId="0" fontId="7" fillId="0" borderId="2" xfId="0" applyNumberFormat="1" applyFont="1" applyBorder="1" applyAlignment="1" applyProtection="1">
      <alignment horizontal="center" vertical="center"/>
      <protection locked="0"/>
    </xf>
    <xf numFmtId="0" fontId="0" fillId="0" borderId="0" xfId="0" applyAlignment="1" applyProtection="1">
      <alignment horizontal="left"/>
      <protection locked="0"/>
    </xf>
    <xf numFmtId="0" fontId="9" fillId="0" borderId="9"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2" fontId="9" fillId="0" borderId="9" xfId="0" applyNumberFormat="1" applyFont="1" applyBorder="1" applyAlignment="1" applyProtection="1">
      <alignment horizontal="right" vertical="center"/>
      <protection locked="0"/>
    </xf>
    <xf numFmtId="2" fontId="9" fillId="0" borderId="7" xfId="0" applyNumberFormat="1" applyFont="1" applyBorder="1" applyAlignment="1" applyProtection="1">
      <alignment horizontal="right" vertical="center"/>
      <protection locked="0"/>
    </xf>
    <xf numFmtId="0" fontId="9" fillId="3" borderId="9" xfId="0" applyFont="1" applyFill="1" applyBorder="1" applyAlignment="1" applyProtection="1">
      <alignment horizontal="left" vertical="center"/>
      <protection locked="0"/>
    </xf>
    <xf numFmtId="0" fontId="9" fillId="3" borderId="0"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2" fontId="9" fillId="3" borderId="9" xfId="0" applyNumberFormat="1" applyFont="1" applyFill="1" applyBorder="1" applyAlignment="1" applyProtection="1">
      <alignment horizontal="right" vertical="center"/>
      <protection locked="0"/>
    </xf>
    <xf numFmtId="2" fontId="9" fillId="3" borderId="7" xfId="0" applyNumberFormat="1" applyFont="1" applyFill="1" applyBorder="1" applyAlignment="1" applyProtection="1">
      <alignment horizontal="righ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2" fontId="9" fillId="0" borderId="13" xfId="0" applyNumberFormat="1" applyFont="1" applyBorder="1" applyAlignment="1" applyProtection="1">
      <alignment horizontal="right" vertical="center"/>
      <protection locked="0"/>
    </xf>
    <xf numFmtId="2" fontId="9" fillId="0" borderId="8" xfId="0" applyNumberFormat="1" applyFont="1" applyBorder="1" applyAlignment="1" applyProtection="1">
      <alignment horizontal="right" vertical="center"/>
      <protection locked="0"/>
    </xf>
    <xf numFmtId="0" fontId="9" fillId="3" borderId="13"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2" fontId="9" fillId="3" borderId="13" xfId="0" applyNumberFormat="1" applyFont="1" applyFill="1" applyBorder="1" applyAlignment="1" applyProtection="1">
      <alignment horizontal="right" vertical="center"/>
      <protection locked="0"/>
    </xf>
    <xf numFmtId="2" fontId="9" fillId="3" borderId="8" xfId="0" applyNumberFormat="1" applyFont="1" applyFill="1" applyBorder="1" applyAlignment="1" applyProtection="1">
      <alignment horizontal="right" vertical="center"/>
      <protection locked="0"/>
    </xf>
    <xf numFmtId="0" fontId="0" fillId="0" borderId="0" xfId="0" applyAlignment="1" applyProtection="1">
      <protection locked="0"/>
    </xf>
    <xf numFmtId="14" fontId="7" fillId="0" borderId="1" xfId="0" applyNumberFormat="1" applyFont="1" applyBorder="1" applyAlignment="1" applyProtection="1">
      <alignment horizontal="center" vertical="center"/>
      <protection locked="0"/>
    </xf>
    <xf numFmtId="14" fontId="7" fillId="0" borderId="2" xfId="0" applyNumberFormat="1" applyFont="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11" fillId="0" borderId="0" xfId="1" applyAlignment="1" applyProtection="1">
      <alignment horizontal="center"/>
    </xf>
    <xf numFmtId="0" fontId="6" fillId="11" borderId="11" xfId="0" applyFont="1" applyFill="1" applyBorder="1" applyAlignment="1">
      <alignment horizontal="center" vertical="center"/>
    </xf>
    <xf numFmtId="0" fontId="9" fillId="0" borderId="1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28" fillId="10" borderId="0" xfId="0" applyFont="1" applyFill="1" applyAlignment="1">
      <alignment horizontal="center" vertical="center"/>
    </xf>
    <xf numFmtId="0" fontId="29" fillId="9" borderId="0" xfId="0" applyFont="1" applyFill="1" applyAlignment="1">
      <alignment horizontal="center" vertical="center" wrapText="1"/>
    </xf>
    <xf numFmtId="165" fontId="11" fillId="5" borderId="0" xfId="1" applyNumberFormat="1" applyFill="1" applyAlignment="1" applyProtection="1">
      <alignment horizontal="center" vertical="center"/>
      <protection locked="0"/>
    </xf>
    <xf numFmtId="0" fontId="16" fillId="6" borderId="0" xfId="0" applyFont="1" applyFill="1" applyAlignment="1" applyProtection="1">
      <alignment horizontal="center"/>
    </xf>
    <xf numFmtId="0" fontId="9" fillId="12" borderId="0" xfId="0" applyFont="1" applyFill="1" applyAlignment="1" applyProtection="1">
      <alignment horizontal="center"/>
      <protection locked="0"/>
    </xf>
    <xf numFmtId="2" fontId="9" fillId="0" borderId="10" xfId="0" applyNumberFormat="1" applyFont="1" applyBorder="1" applyAlignment="1" applyProtection="1">
      <alignment horizontal="right" vertical="center"/>
      <protection locked="0"/>
    </xf>
    <xf numFmtId="2" fontId="9" fillId="0" borderId="5" xfId="0" applyNumberFormat="1" applyFont="1" applyBorder="1" applyAlignment="1" applyProtection="1">
      <alignment horizontal="right" vertical="center"/>
      <protection locked="0"/>
    </xf>
    <xf numFmtId="0" fontId="9" fillId="10" borderId="0" xfId="0" applyFont="1" applyFill="1" applyAlignment="1">
      <alignment horizontal="center"/>
    </xf>
    <xf numFmtId="0" fontId="35" fillId="0" borderId="0" xfId="0" applyFont="1" applyAlignment="1">
      <alignment horizontal="right" vertical="center"/>
    </xf>
    <xf numFmtId="4" fontId="37" fillId="0" borderId="0" xfId="0" applyNumberFormat="1" applyFont="1" applyAlignment="1">
      <alignment horizontal="right" vertical="center"/>
    </xf>
    <xf numFmtId="164" fontId="37" fillId="0" borderId="0" xfId="0" applyNumberFormat="1" applyFont="1" applyAlignment="1">
      <alignment horizontal="right" vertical="center"/>
    </xf>
    <xf numFmtId="14" fontId="16" fillId="6" borderId="10" xfId="0" applyNumberFormat="1" applyFont="1" applyFill="1" applyBorder="1" applyAlignment="1">
      <alignment horizontal="left" indent="1"/>
    </xf>
    <xf numFmtId="14" fontId="16" fillId="6" borderId="5" xfId="0" applyNumberFormat="1" applyFont="1" applyFill="1" applyBorder="1" applyAlignment="1">
      <alignment horizontal="left" indent="1"/>
    </xf>
    <xf numFmtId="14" fontId="16" fillId="6" borderId="9" xfId="0" applyNumberFormat="1" applyFont="1" applyFill="1" applyBorder="1" applyAlignment="1">
      <alignment horizontal="left" indent="1"/>
    </xf>
    <xf numFmtId="14" fontId="16" fillId="6" borderId="7" xfId="0" applyNumberFormat="1" applyFont="1" applyFill="1" applyBorder="1" applyAlignment="1">
      <alignment horizontal="left" indent="1"/>
    </xf>
    <xf numFmtId="14" fontId="16" fillId="6" borderId="13" xfId="0" applyNumberFormat="1" applyFont="1" applyFill="1" applyBorder="1" applyAlignment="1">
      <alignment horizontal="left" indent="1"/>
    </xf>
    <xf numFmtId="14" fontId="16" fillId="6" borderId="8" xfId="0" applyNumberFormat="1" applyFont="1" applyFill="1" applyBorder="1" applyAlignment="1">
      <alignment horizontal="left" indent="1"/>
    </xf>
  </cellXfs>
  <cellStyles count="8">
    <cellStyle name="Hyperlink" xfId="1" builtinId="8"/>
    <cellStyle name="Hyperlink 2" xfId="4" xr:uid="{00000000-0005-0000-0000-000001000000}"/>
    <cellStyle name="Normal" xfId="0" builtinId="0"/>
    <cellStyle name="Normal 2" xfId="2" xr:uid="{00000000-0005-0000-0000-000003000000}"/>
    <cellStyle name="Normal 3" xfId="3" xr:uid="{00000000-0005-0000-0000-000004000000}"/>
    <cellStyle name="Normal 4" xfId="5" xr:uid="{00000000-0005-0000-0000-000005000000}"/>
    <cellStyle name="Normal 5" xfId="6" xr:uid="{00000000-0005-0000-0000-000006000000}"/>
    <cellStyle name="Normal 6" xfId="7"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E8"/>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oknTaxable_1" lockText="1" noThreeD="1"/>
</file>

<file path=xl/ctrlProps/ctrlProp10.xml><?xml version="1.0" encoding="utf-8"?>
<formControlPr xmlns="http://schemas.microsoft.com/office/spreadsheetml/2009/9/main" objectType="CheckBox" fmlaLink="oknTaxable_10" lockText="1" noThreeD="1"/>
</file>

<file path=xl/ctrlProps/ctrlProp11.xml><?xml version="1.0" encoding="utf-8"?>
<formControlPr xmlns="http://schemas.microsoft.com/office/spreadsheetml/2009/9/main" objectType="CheckBox" fmlaLink="oknTaxable_11" lockText="1" noThreeD="1"/>
</file>

<file path=xl/ctrlProps/ctrlProp12.xml><?xml version="1.0" encoding="utf-8"?>
<formControlPr xmlns="http://schemas.microsoft.com/office/spreadsheetml/2009/9/main" objectType="CheckBox" fmlaLink="oknTaxable_12" lockText="1" noThreeD="1"/>
</file>

<file path=xl/ctrlProps/ctrlProp13.xml><?xml version="1.0" encoding="utf-8"?>
<formControlPr xmlns="http://schemas.microsoft.com/office/spreadsheetml/2009/9/main" objectType="CheckBox" fmlaLink="oknTaxable_13" lockText="1" noThreeD="1"/>
</file>

<file path=xl/ctrlProps/ctrlProp14.xml><?xml version="1.0" encoding="utf-8"?>
<formControlPr xmlns="http://schemas.microsoft.com/office/spreadsheetml/2009/9/main" objectType="CheckBox" fmlaLink="oknTaxable_14" lockText="1" noThreeD="1"/>
</file>

<file path=xl/ctrlProps/ctrlProp15.xml><?xml version="1.0" encoding="utf-8"?>
<formControlPr xmlns="http://schemas.microsoft.com/office/spreadsheetml/2009/9/main" objectType="CheckBox" fmlaLink="oknTaxable_15" lockText="1" noThreeD="1"/>
</file>

<file path=xl/ctrlProps/ctrlProp16.xml><?xml version="1.0" encoding="utf-8"?>
<formControlPr xmlns="http://schemas.microsoft.com/office/spreadsheetml/2009/9/main" objectType="CheckBox" fmlaLink="oknTaxable_16" lockText="1" noThreeD="1"/>
</file>

<file path=xl/ctrlProps/ctrlProp17.xml><?xml version="1.0" encoding="utf-8"?>
<formControlPr xmlns="http://schemas.microsoft.com/office/spreadsheetml/2009/9/main" objectType="CheckBox" fmlaLink="oknTaxable_17" lockText="1" noThreeD="1"/>
</file>

<file path=xl/ctrlProps/ctrlProp18.xml><?xml version="1.0" encoding="utf-8"?>
<formControlPr xmlns="http://schemas.microsoft.com/office/spreadsheetml/2009/9/main" objectType="CheckBox" fmlaLink="oknTaxable_18" lockText="1" noThreeD="1"/>
</file>

<file path=xl/ctrlProps/ctrlProp2.xml><?xml version="1.0" encoding="utf-8"?>
<formControlPr xmlns="http://schemas.microsoft.com/office/spreadsheetml/2009/9/main" objectType="CheckBox" fmlaLink="oknTaxable_2" lockText="1" noThreeD="1"/>
</file>

<file path=xl/ctrlProps/ctrlProp3.xml><?xml version="1.0" encoding="utf-8"?>
<formControlPr xmlns="http://schemas.microsoft.com/office/spreadsheetml/2009/9/main" objectType="CheckBox" fmlaLink="oknTaxable_3" lockText="1" noThreeD="1"/>
</file>

<file path=xl/ctrlProps/ctrlProp4.xml><?xml version="1.0" encoding="utf-8"?>
<formControlPr xmlns="http://schemas.microsoft.com/office/spreadsheetml/2009/9/main" objectType="CheckBox" fmlaLink="oknTaxable_4" lockText="1" noThreeD="1"/>
</file>

<file path=xl/ctrlProps/ctrlProp5.xml><?xml version="1.0" encoding="utf-8"?>
<formControlPr xmlns="http://schemas.microsoft.com/office/spreadsheetml/2009/9/main" objectType="CheckBox" fmlaLink="oknTaxable_5" lockText="1" noThreeD="1"/>
</file>

<file path=xl/ctrlProps/ctrlProp6.xml><?xml version="1.0" encoding="utf-8"?>
<formControlPr xmlns="http://schemas.microsoft.com/office/spreadsheetml/2009/9/main" objectType="CheckBox" fmlaLink="oknTaxable_6" lockText="1" noThreeD="1"/>
</file>

<file path=xl/ctrlProps/ctrlProp7.xml><?xml version="1.0" encoding="utf-8"?>
<formControlPr xmlns="http://schemas.microsoft.com/office/spreadsheetml/2009/9/main" objectType="CheckBox" fmlaLink="oknTaxable_7" lockText="1" noThreeD="1"/>
</file>

<file path=xl/ctrlProps/ctrlProp8.xml><?xml version="1.0" encoding="utf-8"?>
<formControlPr xmlns="http://schemas.microsoft.com/office/spreadsheetml/2009/9/main" objectType="CheckBox" fmlaLink="oknTaxable_8" lockText="1" noThreeD="1"/>
</file>

<file path=xl/ctrlProps/ctrlProp9.xml><?xml version="1.0" encoding="utf-8"?>
<formControlPr xmlns="http://schemas.microsoft.com/office/spreadsheetml/2009/9/main" objectType="CheckBox" fmlaLink="oknTaxable_9"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invoicingtemplate.com/#create-invoice" TargetMode="External"/><Relationship Id="rId7" Type="http://schemas.openxmlformats.org/officeDocument/2006/relationships/hyperlink" Target="https://www.microsoft.com/store/apps/9P4GC5QMKD6J?cid=BoostExcel.com" TargetMode="External"/><Relationship Id="rId2" Type="http://schemas.openxmlformats.org/officeDocument/2006/relationships/image" Target="../media/image1.png"/><Relationship Id="rId1" Type="http://schemas.openxmlformats.org/officeDocument/2006/relationships/hyperlink" Target="http://www.invoicingtemplate.com/" TargetMode="External"/><Relationship Id="rId6" Type="http://schemas.openxmlformats.org/officeDocument/2006/relationships/image" Target="../media/image3.png"/><Relationship Id="rId5" Type="http://schemas.openxmlformats.org/officeDocument/2006/relationships/hyperlink" Target="https://www.microsoft.com/store/apps/9P28T9B07J17?cid=BoostExcel.com"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microsoft.com/store/apps/9N1MHP19Z677?cid=BoostExcel.com" TargetMode="External"/></Relationships>
</file>

<file path=xl/drawings/drawing1.xml><?xml version="1.0" encoding="utf-8"?>
<xdr:wsDr xmlns:xdr="http://schemas.openxmlformats.org/drawingml/2006/spreadsheetDrawing" xmlns:a="http://schemas.openxmlformats.org/drawingml/2006/main">
  <xdr:twoCellAnchor editAs="absolute">
    <xdr:from>
      <xdr:col>5</xdr:col>
      <xdr:colOff>28575</xdr:colOff>
      <xdr:row>7</xdr:row>
      <xdr:rowOff>66675</xdr:rowOff>
    </xdr:from>
    <xdr:to>
      <xdr:col>15</xdr:col>
      <xdr:colOff>0</xdr:colOff>
      <xdr:row>7</xdr:row>
      <xdr:rowOff>76200</xdr:rowOff>
    </xdr:to>
    <xdr:sp macro="" textlink="">
      <xdr:nvSpPr>
        <xdr:cNvPr id="1039" name="oknWidget_1">
          <a:extLst>
            <a:ext uri="{FF2B5EF4-FFF2-40B4-BE49-F238E27FC236}">
              <a16:creationId xmlns:a16="http://schemas.microsoft.com/office/drawing/2014/main" id="{00000000-0008-0000-0000-00000F040000}"/>
            </a:ext>
          </a:extLst>
        </xdr:cNvPr>
        <xdr:cNvSpPr>
          <a:spLocks noChangeShapeType="1"/>
        </xdr:cNvSpPr>
      </xdr:nvSpPr>
      <xdr:spPr bwMode="auto">
        <a:xfrm>
          <a:off x="66675" y="2124075"/>
          <a:ext cx="6391275" cy="9525"/>
        </a:xfrm>
        <a:prstGeom prst="line">
          <a:avLst/>
        </a:prstGeom>
        <a:noFill/>
        <a:ln w="76200" cmpd="tri">
          <a:solidFill>
            <a:schemeClr val="accent1">
              <a:lumMod val="20000"/>
              <a:lumOff val="80000"/>
            </a:schemeClr>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476250</xdr:colOff>
          <xdr:row>19</xdr:row>
          <xdr:rowOff>0</xdr:rowOff>
        </xdr:from>
        <xdr:to>
          <xdr:col>9</xdr:col>
          <xdr:colOff>76200</xdr:colOff>
          <xdr:row>20</xdr:row>
          <xdr:rowOff>9525</xdr:rowOff>
        </xdr:to>
        <xdr:sp macro="" textlink="">
          <xdr:nvSpPr>
            <xdr:cNvPr id="1353" name="oknWidget_taxable1"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20</xdr:row>
          <xdr:rowOff>9525</xdr:rowOff>
        </xdr:from>
        <xdr:to>
          <xdr:col>9</xdr:col>
          <xdr:colOff>76200</xdr:colOff>
          <xdr:row>21</xdr:row>
          <xdr:rowOff>19050</xdr:rowOff>
        </xdr:to>
        <xdr:sp macro="" textlink="">
          <xdr:nvSpPr>
            <xdr:cNvPr id="1354" name="oknWidget_taxable2"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21</xdr:row>
          <xdr:rowOff>19050</xdr:rowOff>
        </xdr:from>
        <xdr:to>
          <xdr:col>9</xdr:col>
          <xdr:colOff>76200</xdr:colOff>
          <xdr:row>22</xdr:row>
          <xdr:rowOff>28575</xdr:rowOff>
        </xdr:to>
        <xdr:sp macro="" textlink="">
          <xdr:nvSpPr>
            <xdr:cNvPr id="1355" name="oknWidget_taxable3"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22</xdr:row>
          <xdr:rowOff>9525</xdr:rowOff>
        </xdr:from>
        <xdr:to>
          <xdr:col>9</xdr:col>
          <xdr:colOff>76200</xdr:colOff>
          <xdr:row>23</xdr:row>
          <xdr:rowOff>19050</xdr:rowOff>
        </xdr:to>
        <xdr:sp macro="" textlink="">
          <xdr:nvSpPr>
            <xdr:cNvPr id="1356" name="oknWidget_taxable4"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23</xdr:row>
          <xdr:rowOff>0</xdr:rowOff>
        </xdr:from>
        <xdr:to>
          <xdr:col>9</xdr:col>
          <xdr:colOff>76200</xdr:colOff>
          <xdr:row>24</xdr:row>
          <xdr:rowOff>9525</xdr:rowOff>
        </xdr:to>
        <xdr:sp macro="" textlink="">
          <xdr:nvSpPr>
            <xdr:cNvPr id="1357" name="oknWidget_taxable5"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23</xdr:row>
          <xdr:rowOff>190500</xdr:rowOff>
        </xdr:from>
        <xdr:to>
          <xdr:col>9</xdr:col>
          <xdr:colOff>76200</xdr:colOff>
          <xdr:row>25</xdr:row>
          <xdr:rowOff>0</xdr:rowOff>
        </xdr:to>
        <xdr:sp macro="" textlink="">
          <xdr:nvSpPr>
            <xdr:cNvPr id="1358" name="oknWidget_taxable6"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25</xdr:row>
          <xdr:rowOff>9525</xdr:rowOff>
        </xdr:from>
        <xdr:to>
          <xdr:col>9</xdr:col>
          <xdr:colOff>76200</xdr:colOff>
          <xdr:row>26</xdr:row>
          <xdr:rowOff>19050</xdr:rowOff>
        </xdr:to>
        <xdr:sp macro="" textlink="">
          <xdr:nvSpPr>
            <xdr:cNvPr id="1359" name="oknWidget_taxable7"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26</xdr:row>
          <xdr:rowOff>9525</xdr:rowOff>
        </xdr:from>
        <xdr:to>
          <xdr:col>9</xdr:col>
          <xdr:colOff>76200</xdr:colOff>
          <xdr:row>27</xdr:row>
          <xdr:rowOff>19050</xdr:rowOff>
        </xdr:to>
        <xdr:sp macro="" textlink="">
          <xdr:nvSpPr>
            <xdr:cNvPr id="1360" name="oknWidget_taxable8"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26</xdr:row>
          <xdr:rowOff>180975</xdr:rowOff>
        </xdr:from>
        <xdr:to>
          <xdr:col>9</xdr:col>
          <xdr:colOff>76200</xdr:colOff>
          <xdr:row>27</xdr:row>
          <xdr:rowOff>190500</xdr:rowOff>
        </xdr:to>
        <xdr:sp macro="" textlink="">
          <xdr:nvSpPr>
            <xdr:cNvPr id="1361" name="oknWidget_taxable9"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27</xdr:row>
          <xdr:rowOff>180975</xdr:rowOff>
        </xdr:from>
        <xdr:to>
          <xdr:col>9</xdr:col>
          <xdr:colOff>76200</xdr:colOff>
          <xdr:row>28</xdr:row>
          <xdr:rowOff>190500</xdr:rowOff>
        </xdr:to>
        <xdr:sp macro="" textlink="">
          <xdr:nvSpPr>
            <xdr:cNvPr id="1362" name="oknWidget_taxable10"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28</xdr:row>
          <xdr:rowOff>180975</xdr:rowOff>
        </xdr:from>
        <xdr:to>
          <xdr:col>9</xdr:col>
          <xdr:colOff>76200</xdr:colOff>
          <xdr:row>29</xdr:row>
          <xdr:rowOff>190500</xdr:rowOff>
        </xdr:to>
        <xdr:sp macro="" textlink="">
          <xdr:nvSpPr>
            <xdr:cNvPr id="1363" name="oknWidget_taxable11"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29</xdr:row>
          <xdr:rowOff>190500</xdr:rowOff>
        </xdr:from>
        <xdr:to>
          <xdr:col>9</xdr:col>
          <xdr:colOff>76200</xdr:colOff>
          <xdr:row>31</xdr:row>
          <xdr:rowOff>0</xdr:rowOff>
        </xdr:to>
        <xdr:sp macro="" textlink="">
          <xdr:nvSpPr>
            <xdr:cNvPr id="1364" name="oknWidget_taxable12"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31</xdr:row>
          <xdr:rowOff>0</xdr:rowOff>
        </xdr:from>
        <xdr:to>
          <xdr:col>9</xdr:col>
          <xdr:colOff>76200</xdr:colOff>
          <xdr:row>32</xdr:row>
          <xdr:rowOff>9525</xdr:rowOff>
        </xdr:to>
        <xdr:sp macro="" textlink="">
          <xdr:nvSpPr>
            <xdr:cNvPr id="1365" name="oknWidget_taxable13"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32</xdr:row>
          <xdr:rowOff>9525</xdr:rowOff>
        </xdr:from>
        <xdr:to>
          <xdr:col>9</xdr:col>
          <xdr:colOff>76200</xdr:colOff>
          <xdr:row>33</xdr:row>
          <xdr:rowOff>19050</xdr:rowOff>
        </xdr:to>
        <xdr:sp macro="" textlink="">
          <xdr:nvSpPr>
            <xdr:cNvPr id="1366" name="oknWidget_taxable14"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33</xdr:row>
          <xdr:rowOff>9525</xdr:rowOff>
        </xdr:from>
        <xdr:to>
          <xdr:col>9</xdr:col>
          <xdr:colOff>76200</xdr:colOff>
          <xdr:row>34</xdr:row>
          <xdr:rowOff>19050</xdr:rowOff>
        </xdr:to>
        <xdr:sp macro="" textlink="">
          <xdr:nvSpPr>
            <xdr:cNvPr id="1367" name="oknWidget_taxable15"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34</xdr:row>
          <xdr:rowOff>9525</xdr:rowOff>
        </xdr:from>
        <xdr:to>
          <xdr:col>9</xdr:col>
          <xdr:colOff>76200</xdr:colOff>
          <xdr:row>35</xdr:row>
          <xdr:rowOff>19050</xdr:rowOff>
        </xdr:to>
        <xdr:sp macro="" textlink="">
          <xdr:nvSpPr>
            <xdr:cNvPr id="1368" name="oknWidget_taxable16"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35</xdr:row>
          <xdr:rowOff>0</xdr:rowOff>
        </xdr:from>
        <xdr:to>
          <xdr:col>9</xdr:col>
          <xdr:colOff>76200</xdr:colOff>
          <xdr:row>36</xdr:row>
          <xdr:rowOff>9525</xdr:rowOff>
        </xdr:to>
        <xdr:sp macro="" textlink="">
          <xdr:nvSpPr>
            <xdr:cNvPr id="1369" name="oknWidget_taxable17"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36</xdr:row>
          <xdr:rowOff>9525</xdr:rowOff>
        </xdr:from>
        <xdr:to>
          <xdr:col>9</xdr:col>
          <xdr:colOff>76200</xdr:colOff>
          <xdr:row>127</xdr:row>
          <xdr:rowOff>19050</xdr:rowOff>
        </xdr:to>
        <xdr:sp macro="" textlink="">
          <xdr:nvSpPr>
            <xdr:cNvPr id="1370" name="oknWidget_taxable18"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oneCellAnchor>
    <xdr:from>
      <xdr:col>0</xdr:col>
      <xdr:colOff>0</xdr:colOff>
      <xdr:row>1</xdr:row>
      <xdr:rowOff>104775</xdr:rowOff>
    </xdr:from>
    <xdr:ext cx="886968" cy="224998"/>
    <xdr:sp macro="_xll.ExecImeCommand" textlink="">
      <xdr:nvSpPr>
        <xdr:cNvPr id="22" name="oknCmdClear">
          <a:extLst>
            <a:ext uri="{FF2B5EF4-FFF2-40B4-BE49-F238E27FC236}">
              <a16:creationId xmlns:a16="http://schemas.microsoft.com/office/drawing/2014/main" id="{00000000-0008-0000-0000-000016000000}"/>
            </a:ext>
          </a:extLst>
        </xdr:cNvPr>
        <xdr:cNvSpPr txBox="1"/>
      </xdr:nvSpPr>
      <xdr:spPr>
        <a:xfrm>
          <a:off x="0" y="15240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Clear &amp; New</a:t>
          </a:r>
        </a:p>
      </xdr:txBody>
    </xdr:sp>
    <xdr:clientData fPrintsWithSheet="0"/>
  </xdr:oneCellAnchor>
  <xdr:oneCellAnchor>
    <xdr:from>
      <xdr:col>0</xdr:col>
      <xdr:colOff>0</xdr:colOff>
      <xdr:row>1</xdr:row>
      <xdr:rowOff>428625</xdr:rowOff>
    </xdr:from>
    <xdr:ext cx="886968" cy="224998"/>
    <xdr:sp macro="_xll.ExecImeCommand" textlink="">
      <xdr:nvSpPr>
        <xdr:cNvPr id="23" name="oknCmdSave">
          <a:extLst>
            <a:ext uri="{FF2B5EF4-FFF2-40B4-BE49-F238E27FC236}">
              <a16:creationId xmlns:a16="http://schemas.microsoft.com/office/drawing/2014/main" id="{00000000-0008-0000-0000-000017000000}"/>
            </a:ext>
          </a:extLst>
        </xdr:cNvPr>
        <xdr:cNvSpPr txBox="1"/>
      </xdr:nvSpPr>
      <xdr:spPr>
        <a:xfrm>
          <a:off x="0" y="47625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To DB</a:t>
          </a:r>
        </a:p>
      </xdr:txBody>
    </xdr:sp>
    <xdr:clientData fPrintsWithSheet="0"/>
  </xdr:oneCellAnchor>
  <xdr:oneCellAnchor>
    <xdr:from>
      <xdr:col>7</xdr:col>
      <xdr:colOff>257174</xdr:colOff>
      <xdr:row>1</xdr:row>
      <xdr:rowOff>104775</xdr:rowOff>
    </xdr:from>
    <xdr:ext cx="886968" cy="224998"/>
    <xdr:sp macro="_xll.ExecImeCommand" textlink="">
      <xdr:nvSpPr>
        <xdr:cNvPr id="24" name="oknCmdExtract">
          <a:extLst>
            <a:ext uri="{FF2B5EF4-FFF2-40B4-BE49-F238E27FC236}">
              <a16:creationId xmlns:a16="http://schemas.microsoft.com/office/drawing/2014/main" id="{00000000-0008-0000-0000-000018000000}"/>
            </a:ext>
          </a:extLst>
        </xdr:cNvPr>
        <xdr:cNvSpPr txBox="1"/>
      </xdr:nvSpPr>
      <xdr:spPr>
        <a:xfrm>
          <a:off x="1104899" y="15240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Ext./Email</a:t>
          </a:r>
        </a:p>
      </xdr:txBody>
    </xdr:sp>
    <xdr:clientData fPrintsWithSheet="0"/>
  </xdr:oneCellAnchor>
  <xdr:oneCellAnchor>
    <xdr:from>
      <xdr:col>7</xdr:col>
      <xdr:colOff>257174</xdr:colOff>
      <xdr:row>1</xdr:row>
      <xdr:rowOff>428625</xdr:rowOff>
    </xdr:from>
    <xdr:ext cx="886968" cy="224998"/>
    <xdr:sp macro="_xll.ExecImeCommand" textlink="">
      <xdr:nvSpPr>
        <xdr:cNvPr id="25" name="oknCmdPrint">
          <a:extLst>
            <a:ext uri="{FF2B5EF4-FFF2-40B4-BE49-F238E27FC236}">
              <a16:creationId xmlns:a16="http://schemas.microsoft.com/office/drawing/2014/main" id="{00000000-0008-0000-0000-000019000000}"/>
            </a:ext>
          </a:extLst>
        </xdr:cNvPr>
        <xdr:cNvSpPr txBox="1"/>
      </xdr:nvSpPr>
      <xdr:spPr>
        <a:xfrm>
          <a:off x="1104899" y="47625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Print</a:t>
          </a:r>
        </a:p>
      </xdr:txBody>
    </xdr:sp>
    <xdr:clientData fPrintsWithSheet="0"/>
  </xdr:oneCellAnchor>
  <xdr:oneCellAnchor>
    <xdr:from>
      <xdr:col>8</xdr:col>
      <xdr:colOff>571499</xdr:colOff>
      <xdr:row>1</xdr:row>
      <xdr:rowOff>104775</xdr:rowOff>
    </xdr:from>
    <xdr:ext cx="886968" cy="224998"/>
    <xdr:sp macro="_xll.ExecImeCommand" textlink="">
      <xdr:nvSpPr>
        <xdr:cNvPr id="26" name="oknCmdPayment">
          <a:extLst>
            <a:ext uri="{FF2B5EF4-FFF2-40B4-BE49-F238E27FC236}">
              <a16:creationId xmlns:a16="http://schemas.microsoft.com/office/drawing/2014/main" id="{00000000-0008-0000-0000-00001A000000}"/>
            </a:ext>
          </a:extLst>
        </xdr:cNvPr>
        <xdr:cNvSpPr txBox="1"/>
      </xdr:nvSpPr>
      <xdr:spPr>
        <a:xfrm>
          <a:off x="2171699" y="15240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Payment</a:t>
          </a:r>
        </a:p>
      </xdr:txBody>
    </xdr:sp>
    <xdr:clientData fPrintsWithSheet="0"/>
  </xdr:oneCellAnchor>
  <xdr:oneCellAnchor>
    <xdr:from>
      <xdr:col>8</xdr:col>
      <xdr:colOff>571499</xdr:colOff>
      <xdr:row>1</xdr:row>
      <xdr:rowOff>428625</xdr:rowOff>
    </xdr:from>
    <xdr:ext cx="886968" cy="224998"/>
    <xdr:sp macro="_xll.ExecImeCommand" textlink="">
      <xdr:nvSpPr>
        <xdr:cNvPr id="27" name="oknCmdDetail">
          <a:extLst>
            <a:ext uri="{FF2B5EF4-FFF2-40B4-BE49-F238E27FC236}">
              <a16:creationId xmlns:a16="http://schemas.microsoft.com/office/drawing/2014/main" id="{00000000-0008-0000-0000-00001B000000}"/>
            </a:ext>
          </a:extLst>
        </xdr:cNvPr>
        <xdr:cNvSpPr txBox="1"/>
      </xdr:nvSpPr>
      <xdr:spPr>
        <a:xfrm>
          <a:off x="2171699" y="47625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Detail</a:t>
          </a:r>
        </a:p>
      </xdr:txBody>
    </xdr:sp>
    <xdr:clientData fPrintsWithSheet="0"/>
  </xdr:oneCellAnchor>
  <xdr:oneCellAnchor>
    <xdr:from>
      <xdr:col>11</xdr:col>
      <xdr:colOff>95249</xdr:colOff>
      <xdr:row>1</xdr:row>
      <xdr:rowOff>104775</xdr:rowOff>
    </xdr:from>
    <xdr:ext cx="886968" cy="224998"/>
    <xdr:sp macro="_xll.ExecImeCommand" textlink="">
      <xdr:nvSpPr>
        <xdr:cNvPr id="28" name="oknCmdCustomer">
          <a:extLst>
            <a:ext uri="{FF2B5EF4-FFF2-40B4-BE49-F238E27FC236}">
              <a16:creationId xmlns:a16="http://schemas.microsoft.com/office/drawing/2014/main" id="{00000000-0008-0000-0000-00001C000000}"/>
            </a:ext>
          </a:extLst>
        </xdr:cNvPr>
        <xdr:cNvSpPr txBox="1"/>
      </xdr:nvSpPr>
      <xdr:spPr>
        <a:xfrm>
          <a:off x="3638549" y="15240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Customers</a:t>
          </a:r>
        </a:p>
      </xdr:txBody>
    </xdr:sp>
    <xdr:clientData fPrintsWithSheet="0"/>
  </xdr:oneCellAnchor>
  <xdr:oneCellAnchor>
    <xdr:from>
      <xdr:col>11</xdr:col>
      <xdr:colOff>95249</xdr:colOff>
      <xdr:row>1</xdr:row>
      <xdr:rowOff>428625</xdr:rowOff>
    </xdr:from>
    <xdr:ext cx="886968" cy="224998"/>
    <xdr:sp macro="_xll.ExecImeCommand" textlink="">
      <xdr:nvSpPr>
        <xdr:cNvPr id="29" name="oknCmdProduct">
          <a:extLst>
            <a:ext uri="{FF2B5EF4-FFF2-40B4-BE49-F238E27FC236}">
              <a16:creationId xmlns:a16="http://schemas.microsoft.com/office/drawing/2014/main" id="{00000000-0008-0000-0000-00001D000000}"/>
            </a:ext>
          </a:extLst>
        </xdr:cNvPr>
        <xdr:cNvSpPr txBox="1"/>
      </xdr:nvSpPr>
      <xdr:spPr>
        <a:xfrm>
          <a:off x="3638549" y="47625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Products</a:t>
          </a:r>
        </a:p>
      </xdr:txBody>
    </xdr:sp>
    <xdr:clientData fPrintsWithSheet="0"/>
  </xdr:oneCellAnchor>
  <xdr:oneCellAnchor>
    <xdr:from>
      <xdr:col>12</xdr:col>
      <xdr:colOff>657224</xdr:colOff>
      <xdr:row>1</xdr:row>
      <xdr:rowOff>104775</xdr:rowOff>
    </xdr:from>
    <xdr:ext cx="886968" cy="224998"/>
    <xdr:sp macro="_xll.ExecImeCommand" textlink="">
      <xdr:nvSpPr>
        <xdr:cNvPr id="30" name="oknCmdInvoice">
          <a:extLst>
            <a:ext uri="{FF2B5EF4-FFF2-40B4-BE49-F238E27FC236}">
              <a16:creationId xmlns:a16="http://schemas.microsoft.com/office/drawing/2014/main" id="{00000000-0008-0000-0000-00001E000000}"/>
            </a:ext>
          </a:extLst>
        </xdr:cNvPr>
        <xdr:cNvSpPr txBox="1"/>
      </xdr:nvSpPr>
      <xdr:spPr>
        <a:xfrm>
          <a:off x="4638674" y="15240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Invoices</a:t>
          </a:r>
        </a:p>
      </xdr:txBody>
    </xdr:sp>
    <xdr:clientData fPrintsWithSheet="0"/>
  </xdr:oneCellAnchor>
  <xdr:oneCellAnchor>
    <xdr:from>
      <xdr:col>12</xdr:col>
      <xdr:colOff>657224</xdr:colOff>
      <xdr:row>1</xdr:row>
      <xdr:rowOff>428625</xdr:rowOff>
    </xdr:from>
    <xdr:ext cx="886968" cy="224998"/>
    <xdr:sp macro="_xll.ExecImeCommand" textlink="">
      <xdr:nvSpPr>
        <xdr:cNvPr id="31" name="oknCmdReport">
          <a:extLst>
            <a:ext uri="{FF2B5EF4-FFF2-40B4-BE49-F238E27FC236}">
              <a16:creationId xmlns:a16="http://schemas.microsoft.com/office/drawing/2014/main" id="{00000000-0008-0000-0000-00001F000000}"/>
            </a:ext>
          </a:extLst>
        </xdr:cNvPr>
        <xdr:cNvSpPr txBox="1"/>
      </xdr:nvSpPr>
      <xdr:spPr>
        <a:xfrm>
          <a:off x="4638674" y="47625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Reports</a:t>
          </a:r>
        </a:p>
      </xdr:txBody>
    </xdr:sp>
    <xdr:clientData fPrintsWithSheet="0"/>
  </xdr:oneCellAnchor>
  <xdr:oneCellAnchor>
    <xdr:from>
      <xdr:col>14</xdr:col>
      <xdr:colOff>152399</xdr:colOff>
      <xdr:row>1</xdr:row>
      <xdr:rowOff>104775</xdr:rowOff>
    </xdr:from>
    <xdr:ext cx="886968" cy="224998"/>
    <xdr:sp macro="_xll.ExecImeCommand" textlink="">
      <xdr:nvSpPr>
        <xdr:cNvPr id="32" name="oknCmdSettings">
          <a:extLst>
            <a:ext uri="{FF2B5EF4-FFF2-40B4-BE49-F238E27FC236}">
              <a16:creationId xmlns:a16="http://schemas.microsoft.com/office/drawing/2014/main" id="{00000000-0008-0000-0000-000020000000}"/>
            </a:ext>
          </a:extLst>
        </xdr:cNvPr>
        <xdr:cNvSpPr txBox="1"/>
      </xdr:nvSpPr>
      <xdr:spPr>
        <a:xfrm>
          <a:off x="5629274" y="15240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Settings</a:t>
          </a:r>
        </a:p>
      </xdr:txBody>
    </xdr:sp>
    <xdr:clientData fPrintsWithSheet="0"/>
  </xdr:oneCellAnchor>
  <xdr:oneCellAnchor>
    <xdr:from>
      <xdr:col>14</xdr:col>
      <xdr:colOff>152399</xdr:colOff>
      <xdr:row>1</xdr:row>
      <xdr:rowOff>428625</xdr:rowOff>
    </xdr:from>
    <xdr:ext cx="886968" cy="224998"/>
    <xdr:sp macro="_xll.ExecImeCommand" textlink="">
      <xdr:nvSpPr>
        <xdr:cNvPr id="33" name="oknCmdHelp">
          <a:extLst>
            <a:ext uri="{FF2B5EF4-FFF2-40B4-BE49-F238E27FC236}">
              <a16:creationId xmlns:a16="http://schemas.microsoft.com/office/drawing/2014/main" id="{00000000-0008-0000-0000-000021000000}"/>
            </a:ext>
          </a:extLst>
        </xdr:cNvPr>
        <xdr:cNvSpPr txBox="1"/>
      </xdr:nvSpPr>
      <xdr:spPr>
        <a:xfrm>
          <a:off x="5629274" y="47625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Help</a:t>
          </a:r>
        </a:p>
      </xdr:txBody>
    </xdr:sp>
    <xdr:clientData fPrintsWithSheet="0"/>
  </xdr:oneCellAnchor>
  <xdr:oneCellAnchor>
    <xdr:from>
      <xdr:col>23</xdr:col>
      <xdr:colOff>57150</xdr:colOff>
      <xdr:row>1</xdr:row>
      <xdr:rowOff>238125</xdr:rowOff>
    </xdr:from>
    <xdr:ext cx="886968" cy="224998"/>
    <xdr:sp macro="_xll.ExecImeCommand" textlink="">
      <xdr:nvSpPr>
        <xdr:cNvPr id="34" name="oknCmdAbout">
          <a:extLst>
            <a:ext uri="{FF2B5EF4-FFF2-40B4-BE49-F238E27FC236}">
              <a16:creationId xmlns:a16="http://schemas.microsoft.com/office/drawing/2014/main" id="{00000000-0008-0000-0000-000022000000}"/>
            </a:ext>
          </a:extLst>
        </xdr:cNvPr>
        <xdr:cNvSpPr txBox="1"/>
      </xdr:nvSpPr>
      <xdr:spPr>
        <a:xfrm>
          <a:off x="13582650" y="285750"/>
          <a:ext cx="886968"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About</a:t>
          </a:r>
        </a:p>
      </xdr:txBody>
    </xdr:sp>
    <xdr:clientData fPrintsWithSheet="0"/>
  </xdr:oneCellAnchor>
  <xdr:twoCellAnchor editAs="oneCell">
    <xdr:from>
      <xdr:col>5</xdr:col>
      <xdr:colOff>133350</xdr:colOff>
      <xdr:row>2</xdr:row>
      <xdr:rowOff>161924</xdr:rowOff>
    </xdr:from>
    <xdr:to>
      <xdr:col>7</xdr:col>
      <xdr:colOff>390525</xdr:colOff>
      <xdr:row>6</xdr:row>
      <xdr:rowOff>75740</xdr:rowOff>
    </xdr:to>
    <xdr:pic>
      <xdr:nvPicPr>
        <xdr:cNvPr id="35" name="oknWidget_logo">
          <a:hlinkClick xmlns:r="http://schemas.openxmlformats.org/officeDocument/2006/relationships" r:id="rId1"/>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933449"/>
          <a:ext cx="1066800" cy="1028241"/>
        </a:xfrm>
        <a:prstGeom prst="rect">
          <a:avLst/>
        </a:prstGeom>
      </xdr:spPr>
    </xdr:pic>
    <xdr:clientData/>
  </xdr:twoCellAnchor>
  <xdr:twoCellAnchor editAs="oneCell">
    <xdr:from>
      <xdr:col>20</xdr:col>
      <xdr:colOff>0</xdr:colOff>
      <xdr:row>2</xdr:row>
      <xdr:rowOff>0</xdr:rowOff>
    </xdr:from>
    <xdr:to>
      <xdr:col>28</xdr:col>
      <xdr:colOff>210260</xdr:colOff>
      <xdr:row>14</xdr:row>
      <xdr:rowOff>124187</xdr:rowOff>
    </xdr:to>
    <xdr:pic>
      <xdr:nvPicPr>
        <xdr:cNvPr id="36" name="oknQuickStart">
          <a:hlinkClick xmlns:r="http://schemas.openxmlformats.org/officeDocument/2006/relationships" r:id="rId3"/>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705725" y="771525"/>
          <a:ext cx="5087060" cy="2591162"/>
        </a:xfrm>
        <a:prstGeom prst="rect">
          <a:avLst/>
        </a:prstGeom>
      </xdr:spPr>
    </xdr:pic>
    <xdr:clientData/>
  </xdr:twoCellAnchor>
  <xdr:twoCellAnchor editAs="oneCell">
    <xdr:from>
      <xdr:col>20</xdr:col>
      <xdr:colOff>0</xdr:colOff>
      <xdr:row>14</xdr:row>
      <xdr:rowOff>142875</xdr:rowOff>
    </xdr:from>
    <xdr:to>
      <xdr:col>23</xdr:col>
      <xdr:colOff>552450</xdr:colOff>
      <xdr:row>23</xdr:row>
      <xdr:rowOff>123825</xdr:rowOff>
    </xdr:to>
    <xdr:pic>
      <xdr:nvPicPr>
        <xdr:cNvPr id="3" name="oknShareInvManager">
          <a:hlinkClick xmlns:r="http://schemas.openxmlformats.org/officeDocument/2006/relationships" r:id="rId5"/>
          <a:extLst>
            <a:ext uri="{FF2B5EF4-FFF2-40B4-BE49-F238E27FC236}">
              <a16:creationId xmlns:a16="http://schemas.microsoft.com/office/drawing/2014/main" id="{AD44DF8B-230A-49A0-8868-F5A0490844A2}"/>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705725" y="3381375"/>
          <a:ext cx="2381250" cy="1733550"/>
        </a:xfrm>
        <a:prstGeom prst="rect">
          <a:avLst/>
        </a:prstGeom>
      </xdr:spPr>
    </xdr:pic>
    <xdr:clientData/>
  </xdr:twoCellAnchor>
  <xdr:twoCellAnchor editAs="oneCell">
    <xdr:from>
      <xdr:col>23</xdr:col>
      <xdr:colOff>552450</xdr:colOff>
      <xdr:row>14</xdr:row>
      <xdr:rowOff>142875</xdr:rowOff>
    </xdr:from>
    <xdr:to>
      <xdr:col>27</xdr:col>
      <xdr:colOff>495300</xdr:colOff>
      <xdr:row>23</xdr:row>
      <xdr:rowOff>123825</xdr:rowOff>
    </xdr:to>
    <xdr:pic>
      <xdr:nvPicPr>
        <xdr:cNvPr id="5" name="oknShareDatePicker">
          <a:hlinkClick xmlns:r="http://schemas.openxmlformats.org/officeDocument/2006/relationships" r:id="rId7"/>
          <a:extLst>
            <a:ext uri="{FF2B5EF4-FFF2-40B4-BE49-F238E27FC236}">
              <a16:creationId xmlns:a16="http://schemas.microsoft.com/office/drawing/2014/main" id="{AD9553A6-8B62-42BC-ADF2-90901864E18C}"/>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086975" y="3381375"/>
          <a:ext cx="2381250" cy="1733550"/>
        </a:xfrm>
        <a:prstGeom prst="rect">
          <a:avLst/>
        </a:prstGeom>
      </xdr:spPr>
    </xdr:pic>
    <xdr:clientData/>
  </xdr:twoCellAnchor>
  <xdr:twoCellAnchor editAs="oneCell">
    <xdr:from>
      <xdr:col>27</xdr:col>
      <xdr:colOff>495300</xdr:colOff>
      <xdr:row>14</xdr:row>
      <xdr:rowOff>142875</xdr:rowOff>
    </xdr:from>
    <xdr:to>
      <xdr:col>32</xdr:col>
      <xdr:colOff>293726</xdr:colOff>
      <xdr:row>23</xdr:row>
      <xdr:rowOff>123825</xdr:rowOff>
    </xdr:to>
    <xdr:pic>
      <xdr:nvPicPr>
        <xdr:cNvPr id="9" name="oknShareFormulaManager">
          <a:hlinkClick xmlns:r="http://schemas.openxmlformats.org/officeDocument/2006/relationships" r:id="rId9"/>
          <a:extLst>
            <a:ext uri="{FF2B5EF4-FFF2-40B4-BE49-F238E27FC236}">
              <a16:creationId xmlns:a16="http://schemas.microsoft.com/office/drawing/2014/main" id="{AE9FCCB6-5BAC-43BB-B35F-4A9372CB3972}"/>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468225" y="3381375"/>
          <a:ext cx="2846426" cy="173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7</xdr:row>
      <xdr:rowOff>114410</xdr:rowOff>
    </xdr:from>
    <xdr:to>
      <xdr:col>13</xdr:col>
      <xdr:colOff>838200</xdr:colOff>
      <xdr:row>7</xdr:row>
      <xdr:rowOff>123824</xdr:rowOff>
    </xdr:to>
    <xdr:sp macro="" textlink="">
      <xdr:nvSpPr>
        <xdr:cNvPr id="2" name="oknWidget_2">
          <a:extLst>
            <a:ext uri="{FF2B5EF4-FFF2-40B4-BE49-F238E27FC236}">
              <a16:creationId xmlns:a16="http://schemas.microsoft.com/office/drawing/2014/main" id="{00000000-0008-0000-0200-000002000000}"/>
            </a:ext>
          </a:extLst>
        </xdr:cNvPr>
        <xdr:cNvSpPr>
          <a:spLocks noChangeShapeType="1"/>
        </xdr:cNvSpPr>
      </xdr:nvSpPr>
      <xdr:spPr bwMode="auto">
        <a:xfrm flipV="1">
          <a:off x="114300" y="2076560"/>
          <a:ext cx="6457950" cy="9414"/>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566737</xdr:colOff>
      <xdr:row>1</xdr:row>
      <xdr:rowOff>262721</xdr:rowOff>
    </xdr:from>
    <xdr:ext cx="885825" cy="224998"/>
    <xdr:sp macro="_xll.ExecImeCommand" textlink="">
      <xdr:nvSpPr>
        <xdr:cNvPr id="3" name="oknCmdReportExtract">
          <a:extLst>
            <a:ext uri="{FF2B5EF4-FFF2-40B4-BE49-F238E27FC236}">
              <a16:creationId xmlns:a16="http://schemas.microsoft.com/office/drawing/2014/main" id="{00000000-0008-0000-0200-000003000000}"/>
            </a:ext>
          </a:extLst>
        </xdr:cNvPr>
        <xdr:cNvSpPr txBox="1"/>
      </xdr:nvSpPr>
      <xdr:spPr>
        <a:xfrm>
          <a:off x="2909887"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678656</xdr:colOff>
      <xdr:row>1</xdr:row>
      <xdr:rowOff>262721</xdr:rowOff>
    </xdr:from>
    <xdr:ext cx="885825" cy="224998"/>
    <xdr:sp macro="_xll.ExecImeCommand" textlink="">
      <xdr:nvSpPr>
        <xdr:cNvPr id="4" name="oknCmdReportColumns">
          <a:extLst>
            <a:ext uri="{FF2B5EF4-FFF2-40B4-BE49-F238E27FC236}">
              <a16:creationId xmlns:a16="http://schemas.microsoft.com/office/drawing/2014/main" id="{00000000-0008-0000-0200-000004000000}"/>
            </a:ext>
          </a:extLst>
        </xdr:cNvPr>
        <xdr:cNvSpPr txBox="1"/>
      </xdr:nvSpPr>
      <xdr:spPr>
        <a:xfrm>
          <a:off x="1526381"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262721</xdr:rowOff>
    </xdr:from>
    <xdr:ext cx="885825" cy="224998"/>
    <xdr:sp macro="_xll.ExecImeCommand" textlink="">
      <xdr:nvSpPr>
        <xdr:cNvPr id="5" name="oknCmdReportCreate">
          <a:extLst>
            <a:ext uri="{FF2B5EF4-FFF2-40B4-BE49-F238E27FC236}">
              <a16:creationId xmlns:a16="http://schemas.microsoft.com/office/drawing/2014/main" id="{00000000-0008-0000-0200-000005000000}"/>
            </a:ext>
          </a:extLst>
        </xdr:cNvPr>
        <xdr:cNvSpPr txBox="1"/>
      </xdr:nvSpPr>
      <xdr:spPr>
        <a:xfrm>
          <a:off x="142875"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11</xdr:col>
      <xdr:colOff>569118</xdr:colOff>
      <xdr:row>1</xdr:row>
      <xdr:rowOff>262721</xdr:rowOff>
    </xdr:from>
    <xdr:ext cx="885825" cy="224998"/>
    <xdr:sp macro="_xll.ExecImeCommand" textlink="">
      <xdr:nvSpPr>
        <xdr:cNvPr id="6" name="oknCmdReportPrint">
          <a:extLst>
            <a:ext uri="{FF2B5EF4-FFF2-40B4-BE49-F238E27FC236}">
              <a16:creationId xmlns:a16="http://schemas.microsoft.com/office/drawing/2014/main" id="{00000000-0008-0000-0200-000006000000}"/>
            </a:ext>
          </a:extLst>
        </xdr:cNvPr>
        <xdr:cNvSpPr txBox="1"/>
      </xdr:nvSpPr>
      <xdr:spPr>
        <a:xfrm>
          <a:off x="4293393"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12</xdr:col>
      <xdr:colOff>885825</xdr:colOff>
      <xdr:row>1</xdr:row>
      <xdr:rowOff>262721</xdr:rowOff>
    </xdr:from>
    <xdr:ext cx="885825" cy="224998"/>
    <xdr:sp macro="_xll.ExecImeCommand" textlink="">
      <xdr:nvSpPr>
        <xdr:cNvPr id="7" name="oknCmdReportClear">
          <a:extLst>
            <a:ext uri="{FF2B5EF4-FFF2-40B4-BE49-F238E27FC236}">
              <a16:creationId xmlns:a16="http://schemas.microsoft.com/office/drawing/2014/main" id="{00000000-0008-0000-0200-000007000000}"/>
            </a:ext>
          </a:extLst>
        </xdr:cNvPr>
        <xdr:cNvSpPr txBox="1"/>
      </xdr:nvSpPr>
      <xdr:spPr>
        <a:xfrm>
          <a:off x="5676900" y="310346"/>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7</xdr:row>
      <xdr:rowOff>85725</xdr:rowOff>
    </xdr:from>
    <xdr:to>
      <xdr:col>12</xdr:col>
      <xdr:colOff>742950</xdr:colOff>
      <xdr:row>7</xdr:row>
      <xdr:rowOff>85725</xdr:rowOff>
    </xdr:to>
    <xdr:sp macro="" textlink="">
      <xdr:nvSpPr>
        <xdr:cNvPr id="2" name="oknWidget_2">
          <a:extLst>
            <a:ext uri="{FF2B5EF4-FFF2-40B4-BE49-F238E27FC236}">
              <a16:creationId xmlns:a16="http://schemas.microsoft.com/office/drawing/2014/main" id="{00000000-0008-0000-0300-000002000000}"/>
            </a:ext>
          </a:extLst>
        </xdr:cNvPr>
        <xdr:cNvSpPr>
          <a:spLocks noChangeShapeType="1"/>
        </xdr:cNvSpPr>
      </xdr:nvSpPr>
      <xdr:spPr bwMode="auto">
        <a:xfrm flipV="1">
          <a:off x="66675" y="1781175"/>
          <a:ext cx="6362700" cy="0"/>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1147763</xdr:colOff>
      <xdr:row>1</xdr:row>
      <xdr:rowOff>272246</xdr:rowOff>
    </xdr:from>
    <xdr:ext cx="885825" cy="224998"/>
    <xdr:sp macro="_xll.ExecImeCommand" textlink="">
      <xdr:nvSpPr>
        <xdr:cNvPr id="3" name="oknCmdReportExtract">
          <a:extLst>
            <a:ext uri="{FF2B5EF4-FFF2-40B4-BE49-F238E27FC236}">
              <a16:creationId xmlns:a16="http://schemas.microsoft.com/office/drawing/2014/main" id="{00000000-0008-0000-0300-000003000000}"/>
            </a:ext>
          </a:extLst>
        </xdr:cNvPr>
        <xdr:cNvSpPr txBox="1"/>
      </xdr:nvSpPr>
      <xdr:spPr>
        <a:xfrm>
          <a:off x="2843213"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540544</xdr:colOff>
      <xdr:row>1</xdr:row>
      <xdr:rowOff>272246</xdr:rowOff>
    </xdr:from>
    <xdr:ext cx="885825" cy="224998"/>
    <xdr:sp macro="_xll.ExecImeCommand" textlink="">
      <xdr:nvSpPr>
        <xdr:cNvPr id="4" name="oknCmdReportColumns">
          <a:extLst>
            <a:ext uri="{FF2B5EF4-FFF2-40B4-BE49-F238E27FC236}">
              <a16:creationId xmlns:a16="http://schemas.microsoft.com/office/drawing/2014/main" id="{00000000-0008-0000-0300-000004000000}"/>
            </a:ext>
          </a:extLst>
        </xdr:cNvPr>
        <xdr:cNvSpPr txBox="1"/>
      </xdr:nvSpPr>
      <xdr:spPr>
        <a:xfrm>
          <a:off x="1473994"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272246</xdr:rowOff>
    </xdr:from>
    <xdr:ext cx="885825" cy="224998"/>
    <xdr:sp macro="_xll.ExecImeCommand" textlink="">
      <xdr:nvSpPr>
        <xdr:cNvPr id="5" name="oknCmdReportCreate">
          <a:extLst>
            <a:ext uri="{FF2B5EF4-FFF2-40B4-BE49-F238E27FC236}">
              <a16:creationId xmlns:a16="http://schemas.microsoft.com/office/drawing/2014/main" id="{00000000-0008-0000-0300-000005000000}"/>
            </a:ext>
          </a:extLst>
        </xdr:cNvPr>
        <xdr:cNvSpPr txBox="1"/>
      </xdr:nvSpPr>
      <xdr:spPr>
        <a:xfrm>
          <a:off x="104775"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9</xdr:col>
      <xdr:colOff>116682</xdr:colOff>
      <xdr:row>1</xdr:row>
      <xdr:rowOff>272246</xdr:rowOff>
    </xdr:from>
    <xdr:ext cx="885825" cy="224998"/>
    <xdr:sp macro="_xll.ExecImeCommand" textlink="">
      <xdr:nvSpPr>
        <xdr:cNvPr id="6" name="oknCmdReportPrint">
          <a:extLst>
            <a:ext uri="{FF2B5EF4-FFF2-40B4-BE49-F238E27FC236}">
              <a16:creationId xmlns:a16="http://schemas.microsoft.com/office/drawing/2014/main" id="{00000000-0008-0000-0300-000006000000}"/>
            </a:ext>
          </a:extLst>
        </xdr:cNvPr>
        <xdr:cNvSpPr txBox="1"/>
      </xdr:nvSpPr>
      <xdr:spPr>
        <a:xfrm>
          <a:off x="4212432"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10</xdr:col>
      <xdr:colOff>733425</xdr:colOff>
      <xdr:row>1</xdr:row>
      <xdr:rowOff>272246</xdr:rowOff>
    </xdr:from>
    <xdr:ext cx="885825" cy="224998"/>
    <xdr:sp macro="_xll.ExecImeCommand" textlink="">
      <xdr:nvSpPr>
        <xdr:cNvPr id="7" name="oknCmdReportClear">
          <a:extLst>
            <a:ext uri="{FF2B5EF4-FFF2-40B4-BE49-F238E27FC236}">
              <a16:creationId xmlns:a16="http://schemas.microsoft.com/office/drawing/2014/main" id="{00000000-0008-0000-0300-000007000000}"/>
            </a:ext>
          </a:extLst>
        </xdr:cNvPr>
        <xdr:cNvSpPr txBox="1"/>
      </xdr:nvSpPr>
      <xdr:spPr>
        <a:xfrm>
          <a:off x="5581650" y="31987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7</xdr:row>
      <xdr:rowOff>76200</xdr:rowOff>
    </xdr:from>
    <xdr:to>
      <xdr:col>9</xdr:col>
      <xdr:colOff>0</xdr:colOff>
      <xdr:row>7</xdr:row>
      <xdr:rowOff>76200</xdr:rowOff>
    </xdr:to>
    <xdr:sp macro="" textlink="">
      <xdr:nvSpPr>
        <xdr:cNvPr id="2" name="oknWidget_2">
          <a:extLst>
            <a:ext uri="{FF2B5EF4-FFF2-40B4-BE49-F238E27FC236}">
              <a16:creationId xmlns:a16="http://schemas.microsoft.com/office/drawing/2014/main" id="{00000000-0008-0000-0400-000002000000}"/>
            </a:ext>
          </a:extLst>
        </xdr:cNvPr>
        <xdr:cNvSpPr>
          <a:spLocks noChangeShapeType="1"/>
        </xdr:cNvSpPr>
      </xdr:nvSpPr>
      <xdr:spPr bwMode="auto">
        <a:xfrm flipV="1">
          <a:off x="85725" y="1781175"/>
          <a:ext cx="6324600" cy="0"/>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238125</xdr:colOff>
      <xdr:row>1</xdr:row>
      <xdr:rowOff>253196</xdr:rowOff>
    </xdr:from>
    <xdr:ext cx="885825" cy="224998"/>
    <xdr:sp macro="_xll.ExecImeCommand" textlink="">
      <xdr:nvSpPr>
        <xdr:cNvPr id="3" name="oknCmdReportExtract">
          <a:extLst>
            <a:ext uri="{FF2B5EF4-FFF2-40B4-BE49-F238E27FC236}">
              <a16:creationId xmlns:a16="http://schemas.microsoft.com/office/drawing/2014/main" id="{00000000-0008-0000-0400-000003000000}"/>
            </a:ext>
          </a:extLst>
        </xdr:cNvPr>
        <xdr:cNvSpPr txBox="1"/>
      </xdr:nvSpPr>
      <xdr:spPr>
        <a:xfrm>
          <a:off x="280987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495300</xdr:colOff>
      <xdr:row>1</xdr:row>
      <xdr:rowOff>253196</xdr:rowOff>
    </xdr:from>
    <xdr:ext cx="885825" cy="224998"/>
    <xdr:sp macro="_xll.ExecImeCommand" textlink="">
      <xdr:nvSpPr>
        <xdr:cNvPr id="4" name="oknCmdReportColumns">
          <a:extLst>
            <a:ext uri="{FF2B5EF4-FFF2-40B4-BE49-F238E27FC236}">
              <a16:creationId xmlns:a16="http://schemas.microsoft.com/office/drawing/2014/main" id="{00000000-0008-0000-0400-000004000000}"/>
            </a:ext>
          </a:extLst>
        </xdr:cNvPr>
        <xdr:cNvSpPr txBox="1"/>
      </xdr:nvSpPr>
      <xdr:spPr>
        <a:xfrm>
          <a:off x="146685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253196</xdr:rowOff>
    </xdr:from>
    <xdr:ext cx="885825" cy="224998"/>
    <xdr:sp macro="_xll.ExecImeCommand" textlink="">
      <xdr:nvSpPr>
        <xdr:cNvPr id="5" name="oknCmdReportCreate">
          <a:extLst>
            <a:ext uri="{FF2B5EF4-FFF2-40B4-BE49-F238E27FC236}">
              <a16:creationId xmlns:a16="http://schemas.microsoft.com/office/drawing/2014/main" id="{00000000-0008-0000-0400-000005000000}"/>
            </a:ext>
          </a:extLst>
        </xdr:cNvPr>
        <xdr:cNvSpPr txBox="1"/>
      </xdr:nvSpPr>
      <xdr:spPr>
        <a:xfrm>
          <a:off x="1238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5</xdr:col>
      <xdr:colOff>390525</xdr:colOff>
      <xdr:row>1</xdr:row>
      <xdr:rowOff>253196</xdr:rowOff>
    </xdr:from>
    <xdr:ext cx="885825" cy="224998"/>
    <xdr:sp macro="_xll.ExecImeCommand" textlink="">
      <xdr:nvSpPr>
        <xdr:cNvPr id="6" name="oknCmdReportPrint">
          <a:extLst>
            <a:ext uri="{FF2B5EF4-FFF2-40B4-BE49-F238E27FC236}">
              <a16:creationId xmlns:a16="http://schemas.microsoft.com/office/drawing/2014/main" id="{00000000-0008-0000-0400-000006000000}"/>
            </a:ext>
          </a:extLst>
        </xdr:cNvPr>
        <xdr:cNvSpPr txBox="1"/>
      </xdr:nvSpPr>
      <xdr:spPr>
        <a:xfrm>
          <a:off x="415290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7</xdr:col>
      <xdr:colOff>495300</xdr:colOff>
      <xdr:row>1</xdr:row>
      <xdr:rowOff>253196</xdr:rowOff>
    </xdr:from>
    <xdr:ext cx="885825" cy="224998"/>
    <xdr:sp macro="_xll.ExecImeCommand" textlink="">
      <xdr:nvSpPr>
        <xdr:cNvPr id="7" name="oknCmdReportClear">
          <a:extLst>
            <a:ext uri="{FF2B5EF4-FFF2-40B4-BE49-F238E27FC236}">
              <a16:creationId xmlns:a16="http://schemas.microsoft.com/office/drawing/2014/main" id="{00000000-0008-0000-0400-000007000000}"/>
            </a:ext>
          </a:extLst>
        </xdr:cNvPr>
        <xdr:cNvSpPr txBox="1"/>
      </xdr:nvSpPr>
      <xdr:spPr>
        <a:xfrm>
          <a:off x="54959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absolute">
    <xdr:from>
      <xdr:col>1</xdr:col>
      <xdr:colOff>9524</xdr:colOff>
      <xdr:row>7</xdr:row>
      <xdr:rowOff>172801</xdr:rowOff>
    </xdr:from>
    <xdr:to>
      <xdr:col>7</xdr:col>
      <xdr:colOff>997891</xdr:colOff>
      <xdr:row>7</xdr:row>
      <xdr:rowOff>200024</xdr:rowOff>
    </xdr:to>
    <xdr:sp macro="" textlink="">
      <xdr:nvSpPr>
        <xdr:cNvPr id="2" name="oknWidget_2">
          <a:extLst>
            <a:ext uri="{FF2B5EF4-FFF2-40B4-BE49-F238E27FC236}">
              <a16:creationId xmlns:a16="http://schemas.microsoft.com/office/drawing/2014/main" id="{00000000-0008-0000-0500-000002000000}"/>
            </a:ext>
          </a:extLst>
        </xdr:cNvPr>
        <xdr:cNvSpPr>
          <a:spLocks noChangeShapeType="1"/>
        </xdr:cNvSpPr>
      </xdr:nvSpPr>
      <xdr:spPr bwMode="auto">
        <a:xfrm>
          <a:off x="76199" y="1868251"/>
          <a:ext cx="6608117" cy="27223"/>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2176462</xdr:colOff>
      <xdr:row>1</xdr:row>
      <xdr:rowOff>253196</xdr:rowOff>
    </xdr:from>
    <xdr:ext cx="885825" cy="224998"/>
    <xdr:sp macro="_xll.ExecImeCommand" textlink="">
      <xdr:nvSpPr>
        <xdr:cNvPr id="3" name="oknCmdReportExtract">
          <a:extLst>
            <a:ext uri="{FF2B5EF4-FFF2-40B4-BE49-F238E27FC236}">
              <a16:creationId xmlns:a16="http://schemas.microsoft.com/office/drawing/2014/main" id="{00000000-0008-0000-0500-000003000000}"/>
            </a:ext>
          </a:extLst>
        </xdr:cNvPr>
        <xdr:cNvSpPr txBox="1"/>
      </xdr:nvSpPr>
      <xdr:spPr>
        <a:xfrm>
          <a:off x="2947987"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764381</xdr:colOff>
      <xdr:row>1</xdr:row>
      <xdr:rowOff>253196</xdr:rowOff>
    </xdr:from>
    <xdr:ext cx="885825" cy="224998"/>
    <xdr:sp macro="_xll.ExecImeCommand" textlink="">
      <xdr:nvSpPr>
        <xdr:cNvPr id="4" name="oknCmdReportColumns">
          <a:extLst>
            <a:ext uri="{FF2B5EF4-FFF2-40B4-BE49-F238E27FC236}">
              <a16:creationId xmlns:a16="http://schemas.microsoft.com/office/drawing/2014/main" id="{00000000-0008-0000-0500-000004000000}"/>
            </a:ext>
          </a:extLst>
        </xdr:cNvPr>
        <xdr:cNvSpPr txBox="1"/>
      </xdr:nvSpPr>
      <xdr:spPr>
        <a:xfrm>
          <a:off x="1535906"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253196</xdr:rowOff>
    </xdr:from>
    <xdr:ext cx="885825" cy="224998"/>
    <xdr:sp macro="_xll.ExecImeCommand" textlink="">
      <xdr:nvSpPr>
        <xdr:cNvPr id="5" name="oknCmdReportCreate">
          <a:extLst>
            <a:ext uri="{FF2B5EF4-FFF2-40B4-BE49-F238E27FC236}">
              <a16:creationId xmlns:a16="http://schemas.microsoft.com/office/drawing/2014/main" id="{00000000-0008-0000-0500-000005000000}"/>
            </a:ext>
          </a:extLst>
        </xdr:cNvPr>
        <xdr:cNvSpPr txBox="1"/>
      </xdr:nvSpPr>
      <xdr:spPr>
        <a:xfrm>
          <a:off x="1238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4</xdr:col>
      <xdr:colOff>711993</xdr:colOff>
      <xdr:row>1</xdr:row>
      <xdr:rowOff>253196</xdr:rowOff>
    </xdr:from>
    <xdr:ext cx="885825" cy="224998"/>
    <xdr:sp macro="_xll.ExecImeCommand" textlink="">
      <xdr:nvSpPr>
        <xdr:cNvPr id="6" name="oknCmdReportPrint">
          <a:extLst>
            <a:ext uri="{FF2B5EF4-FFF2-40B4-BE49-F238E27FC236}">
              <a16:creationId xmlns:a16="http://schemas.microsoft.com/office/drawing/2014/main" id="{00000000-0008-0000-0500-000006000000}"/>
            </a:ext>
          </a:extLst>
        </xdr:cNvPr>
        <xdr:cNvSpPr txBox="1"/>
      </xdr:nvSpPr>
      <xdr:spPr>
        <a:xfrm>
          <a:off x="4360068"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7</xdr:col>
      <xdr:colOff>85725</xdr:colOff>
      <xdr:row>1</xdr:row>
      <xdr:rowOff>253196</xdr:rowOff>
    </xdr:from>
    <xdr:ext cx="885825" cy="224998"/>
    <xdr:sp macro="_xll.ExecImeCommand" textlink="">
      <xdr:nvSpPr>
        <xdr:cNvPr id="7" name="oknCmdReportClear">
          <a:extLst>
            <a:ext uri="{FF2B5EF4-FFF2-40B4-BE49-F238E27FC236}">
              <a16:creationId xmlns:a16="http://schemas.microsoft.com/office/drawing/2014/main" id="{00000000-0008-0000-0500-000007000000}"/>
            </a:ext>
          </a:extLst>
        </xdr:cNvPr>
        <xdr:cNvSpPr txBox="1"/>
      </xdr:nvSpPr>
      <xdr:spPr>
        <a:xfrm>
          <a:off x="577215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7</xdr:row>
      <xdr:rowOff>85725</xdr:rowOff>
    </xdr:from>
    <xdr:to>
      <xdr:col>12</xdr:col>
      <xdr:colOff>838200</xdr:colOff>
      <xdr:row>7</xdr:row>
      <xdr:rowOff>95176</xdr:rowOff>
    </xdr:to>
    <xdr:sp macro="" textlink="">
      <xdr:nvSpPr>
        <xdr:cNvPr id="2" name="oknWidget_2">
          <a:extLst>
            <a:ext uri="{FF2B5EF4-FFF2-40B4-BE49-F238E27FC236}">
              <a16:creationId xmlns:a16="http://schemas.microsoft.com/office/drawing/2014/main" id="{00000000-0008-0000-0600-000002000000}"/>
            </a:ext>
          </a:extLst>
        </xdr:cNvPr>
        <xdr:cNvSpPr>
          <a:spLocks noChangeShapeType="1"/>
        </xdr:cNvSpPr>
      </xdr:nvSpPr>
      <xdr:spPr bwMode="auto">
        <a:xfrm>
          <a:off x="76200" y="1781175"/>
          <a:ext cx="6048375" cy="9451"/>
        </a:xfrm>
        <a:prstGeom prst="line">
          <a:avLst/>
        </a:prstGeom>
        <a:noFill/>
        <a:ln w="76200" cmpd="tri">
          <a:solidFill>
            <a:schemeClr val="accent1">
              <a:lumMod val="60000"/>
              <a:lumOff val="4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457200</xdr:colOff>
      <xdr:row>1</xdr:row>
      <xdr:rowOff>253196</xdr:rowOff>
    </xdr:from>
    <xdr:ext cx="885825" cy="224998"/>
    <xdr:sp macro="_xll.ExecImeCommand" textlink="">
      <xdr:nvSpPr>
        <xdr:cNvPr id="3" name="oknCmdReportExtract">
          <a:extLst>
            <a:ext uri="{FF2B5EF4-FFF2-40B4-BE49-F238E27FC236}">
              <a16:creationId xmlns:a16="http://schemas.microsoft.com/office/drawing/2014/main" id="{00000000-0008-0000-0600-000003000000}"/>
            </a:ext>
          </a:extLst>
        </xdr:cNvPr>
        <xdr:cNvSpPr txBox="1"/>
      </xdr:nvSpPr>
      <xdr:spPr>
        <a:xfrm>
          <a:off x="2647950"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Extract</a:t>
          </a:r>
        </a:p>
      </xdr:txBody>
    </xdr:sp>
    <xdr:clientData fPrintsWithSheet="0"/>
  </xdr:oneCellAnchor>
  <xdr:oneCellAnchor>
    <xdr:from>
      <xdr:col>2</xdr:col>
      <xdr:colOff>538163</xdr:colOff>
      <xdr:row>1</xdr:row>
      <xdr:rowOff>253196</xdr:rowOff>
    </xdr:from>
    <xdr:ext cx="885825" cy="224998"/>
    <xdr:sp macro="_xll.ExecImeCommand" textlink="">
      <xdr:nvSpPr>
        <xdr:cNvPr id="4" name="oknCmdReportColumns">
          <a:extLst>
            <a:ext uri="{FF2B5EF4-FFF2-40B4-BE49-F238E27FC236}">
              <a16:creationId xmlns:a16="http://schemas.microsoft.com/office/drawing/2014/main" id="{00000000-0008-0000-0600-000004000000}"/>
            </a:ext>
          </a:extLst>
        </xdr:cNvPr>
        <xdr:cNvSpPr txBox="1"/>
      </xdr:nvSpPr>
      <xdr:spPr>
        <a:xfrm>
          <a:off x="1376363"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Columns</a:t>
          </a:r>
        </a:p>
      </xdr:txBody>
    </xdr:sp>
    <xdr:clientData fPrintsWithSheet="0"/>
  </xdr:oneCellAnchor>
  <xdr:oneCellAnchor>
    <xdr:from>
      <xdr:col>1</xdr:col>
      <xdr:colOff>57150</xdr:colOff>
      <xdr:row>1</xdr:row>
      <xdr:rowOff>253196</xdr:rowOff>
    </xdr:from>
    <xdr:ext cx="885825" cy="224998"/>
    <xdr:sp macro="_xll.ExecImeCommand" textlink="">
      <xdr:nvSpPr>
        <xdr:cNvPr id="5" name="oknCmdReportCreate">
          <a:extLst>
            <a:ext uri="{FF2B5EF4-FFF2-40B4-BE49-F238E27FC236}">
              <a16:creationId xmlns:a16="http://schemas.microsoft.com/office/drawing/2014/main" id="{00000000-0008-0000-0600-000005000000}"/>
            </a:ext>
          </a:extLst>
        </xdr:cNvPr>
        <xdr:cNvSpPr txBox="1"/>
      </xdr:nvSpPr>
      <xdr:spPr>
        <a:xfrm>
          <a:off x="10477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New Report</a:t>
          </a:r>
        </a:p>
      </xdr:txBody>
    </xdr:sp>
    <xdr:clientData fPrintsWithSheet="0"/>
  </xdr:oneCellAnchor>
  <xdr:oneCellAnchor>
    <xdr:from>
      <xdr:col>9</xdr:col>
      <xdr:colOff>233362</xdr:colOff>
      <xdr:row>1</xdr:row>
      <xdr:rowOff>253196</xdr:rowOff>
    </xdr:from>
    <xdr:ext cx="885825" cy="224998"/>
    <xdr:sp macro="_xll.ExecImeCommand" textlink="">
      <xdr:nvSpPr>
        <xdr:cNvPr id="6" name="oknCmdReportPrint">
          <a:extLst>
            <a:ext uri="{FF2B5EF4-FFF2-40B4-BE49-F238E27FC236}">
              <a16:creationId xmlns:a16="http://schemas.microsoft.com/office/drawing/2014/main" id="{00000000-0008-0000-0600-000006000000}"/>
            </a:ext>
          </a:extLst>
        </xdr:cNvPr>
        <xdr:cNvSpPr txBox="1"/>
      </xdr:nvSpPr>
      <xdr:spPr>
        <a:xfrm>
          <a:off x="3919537"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Print</a:t>
          </a:r>
        </a:p>
      </xdr:txBody>
    </xdr:sp>
    <xdr:clientData fPrintsWithSheet="0"/>
  </xdr:oneCellAnchor>
  <xdr:oneCellAnchor>
    <xdr:from>
      <xdr:col>10</xdr:col>
      <xdr:colOff>742950</xdr:colOff>
      <xdr:row>1</xdr:row>
      <xdr:rowOff>253196</xdr:rowOff>
    </xdr:from>
    <xdr:ext cx="885825" cy="224998"/>
    <xdr:sp macro="_xll.ExecImeCommand" textlink="">
      <xdr:nvSpPr>
        <xdr:cNvPr id="7" name="oknCmdReportClear">
          <a:extLst>
            <a:ext uri="{FF2B5EF4-FFF2-40B4-BE49-F238E27FC236}">
              <a16:creationId xmlns:a16="http://schemas.microsoft.com/office/drawing/2014/main" id="{00000000-0008-0000-0600-000007000000}"/>
            </a:ext>
          </a:extLst>
        </xdr:cNvPr>
        <xdr:cNvSpPr txBox="1"/>
      </xdr:nvSpPr>
      <xdr:spPr>
        <a:xfrm>
          <a:off x="5191125" y="300821"/>
          <a:ext cx="885825" cy="22499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ctr">
          <a:spAutoFit/>
        </a:bodyPr>
        <a:lstStyle/>
        <a:p>
          <a:pPr marL="0" indent="0" algn="ctr"/>
          <a:r>
            <a:rPr lang="en-US" sz="900">
              <a:solidFill>
                <a:schemeClr val="dk1"/>
              </a:solidFill>
              <a:latin typeface="Arial" panose="020B0604020202020204" pitchFamily="34" charset="0"/>
              <a:ea typeface="+mn-ea"/>
              <a:cs typeface="+mn-cs"/>
            </a:rPr>
            <a:t>Clear</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oicingtemplate.com/singaporegst-service.html" TargetMode="External"/><Relationship Id="rId13" Type="http://schemas.openxmlformats.org/officeDocument/2006/relationships/vmlDrawing" Target="../drawings/vmlDrawing1.vml"/><Relationship Id="rId18" Type="http://schemas.openxmlformats.org/officeDocument/2006/relationships/ctrlProp" Target="../ctrlProps/ctrlProp5.xml"/><Relationship Id="rId26" Type="http://schemas.openxmlformats.org/officeDocument/2006/relationships/ctrlProp" Target="../ctrlProps/ctrlProp13.xml"/><Relationship Id="rId3" Type="http://schemas.openxmlformats.org/officeDocument/2006/relationships/hyperlink" Target="http://www.invoicingtemplate.com/singaporegst-service.html" TargetMode="External"/><Relationship Id="rId21" Type="http://schemas.openxmlformats.org/officeDocument/2006/relationships/ctrlProp" Target="../ctrlProps/ctrlProp8.xml"/><Relationship Id="rId7" Type="http://schemas.openxmlformats.org/officeDocument/2006/relationships/hyperlink" Target="http://www.invoicingtemplate.com/singaporegst-service.html" TargetMode="External"/><Relationship Id="rId12" Type="http://schemas.openxmlformats.org/officeDocument/2006/relationships/drawing" Target="../drawings/drawing1.xml"/><Relationship Id="rId17" Type="http://schemas.openxmlformats.org/officeDocument/2006/relationships/ctrlProp" Target="../ctrlProps/ctrlProp4.xml"/><Relationship Id="rId25" Type="http://schemas.openxmlformats.org/officeDocument/2006/relationships/ctrlProp" Target="../ctrlProps/ctrlProp12.xml"/><Relationship Id="rId2" Type="http://schemas.openxmlformats.org/officeDocument/2006/relationships/hyperlink" Target="http://www.invoicingtemplates.com/" TargetMode="External"/><Relationship Id="rId16" Type="http://schemas.openxmlformats.org/officeDocument/2006/relationships/ctrlProp" Target="../ctrlProps/ctrlProp3.xml"/><Relationship Id="rId20" Type="http://schemas.openxmlformats.org/officeDocument/2006/relationships/ctrlProp" Target="../ctrlProps/ctrlProp7.xml"/><Relationship Id="rId29" Type="http://schemas.openxmlformats.org/officeDocument/2006/relationships/ctrlProp" Target="../ctrlProps/ctrlProp16.xml"/><Relationship Id="rId1" Type="http://schemas.openxmlformats.org/officeDocument/2006/relationships/hyperlink" Target="http://www.invoicingtemplate.com/" TargetMode="External"/><Relationship Id="rId6" Type="http://schemas.openxmlformats.org/officeDocument/2006/relationships/hyperlink" Target="http://www.invoicingtemplate.com/singaporegst-service.html" TargetMode="External"/><Relationship Id="rId11" Type="http://schemas.openxmlformats.org/officeDocument/2006/relationships/printerSettings" Target="../printerSettings/printerSettings1.bin"/><Relationship Id="rId24" Type="http://schemas.openxmlformats.org/officeDocument/2006/relationships/ctrlProp" Target="../ctrlProps/ctrlProp11.xml"/><Relationship Id="rId5" Type="http://schemas.openxmlformats.org/officeDocument/2006/relationships/hyperlink" Target="http://www.invoicingtemplate.com/singaporegst-service.html" TargetMode="External"/><Relationship Id="rId15" Type="http://schemas.openxmlformats.org/officeDocument/2006/relationships/ctrlProp" Target="../ctrlProps/ctrlProp2.xml"/><Relationship Id="rId23" Type="http://schemas.openxmlformats.org/officeDocument/2006/relationships/ctrlProp" Target="../ctrlProps/ctrlProp10.xml"/><Relationship Id="rId28" Type="http://schemas.openxmlformats.org/officeDocument/2006/relationships/ctrlProp" Target="../ctrlProps/ctrlProp15.xml"/><Relationship Id="rId10" Type="http://schemas.openxmlformats.org/officeDocument/2006/relationships/hyperlink" Target="http://www.invoicingtemplate.com/singaporegst-service.html" TargetMode="External"/><Relationship Id="rId19" Type="http://schemas.openxmlformats.org/officeDocument/2006/relationships/ctrlProp" Target="../ctrlProps/ctrlProp6.xml"/><Relationship Id="rId31" Type="http://schemas.openxmlformats.org/officeDocument/2006/relationships/ctrlProp" Target="../ctrlProps/ctrlProp18.xml"/><Relationship Id="rId4" Type="http://schemas.openxmlformats.org/officeDocument/2006/relationships/hyperlink" Target="http://www.invoicingtemplate.com/singaporegst-service.html" TargetMode="External"/><Relationship Id="rId9" Type="http://schemas.openxmlformats.org/officeDocument/2006/relationships/hyperlink" Target="http://www.invoicingtemplate.com/singaporegst-service.html" TargetMode="External"/><Relationship Id="rId14" Type="http://schemas.openxmlformats.org/officeDocument/2006/relationships/ctrlProp" Target="../ctrlProps/ctrlProp1.xml"/><Relationship Id="rId22" Type="http://schemas.openxmlformats.org/officeDocument/2006/relationships/ctrlProp" Target="../ctrlProps/ctrlProp9.xml"/><Relationship Id="rId27" Type="http://schemas.openxmlformats.org/officeDocument/2006/relationships/ctrlProp" Target="../ctrlProps/ctrlProp14.xml"/><Relationship Id="rId30"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2" Type="http://schemas.openxmlformats.org/officeDocument/2006/relationships/hyperlink" Target="http://www.invoicingtemplate.com/singaporegst-service.html" TargetMode="External"/><Relationship Id="rId1" Type="http://schemas.openxmlformats.org/officeDocument/2006/relationships/hyperlink" Target="http://www.invoicingtemplate.com/about.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KM983"/>
  <sheetViews>
    <sheetView showGridLines="0" showRowColHeaders="0" showZeros="0" tabSelected="1" showOutlineSymbols="0" topLeftCell="E1" zoomScaleNormal="100" workbookViewId="0">
      <selection activeCell="H10" sqref="H10:J10"/>
    </sheetView>
  </sheetViews>
  <sheetFormatPr defaultRowHeight="12.75"/>
  <cols>
    <col min="1" max="1" width="8" style="58" hidden="1" customWidth="1"/>
    <col min="2" max="2" width="9.140625" style="58" hidden="1" customWidth="1"/>
    <col min="3" max="3" width="8.5703125" style="25" hidden="1" customWidth="1"/>
    <col min="4" max="4" width="16" style="25" hidden="1" customWidth="1"/>
    <col min="5" max="5" width="0.5703125" style="46" customWidth="1"/>
    <col min="6" max="6" width="9" customWidth="1"/>
    <col min="7" max="7" width="3.140625" customWidth="1"/>
    <col min="8" max="8" width="11.28515625" customWidth="1"/>
    <col min="9" max="9" width="10.42578125" customWidth="1"/>
    <col min="10" max="10" width="15.42578125" customWidth="1"/>
    <col min="11" max="11" width="3.28515625" customWidth="1"/>
    <col min="12" max="12" width="6.5703125" customWidth="1"/>
    <col min="13" max="13" width="13.85546875" customWidth="1"/>
    <col min="14" max="14" width="8.5703125" customWidth="1"/>
    <col min="15" max="15" width="14.7109375" customWidth="1"/>
    <col min="16" max="16" width="0.85546875" style="9" customWidth="1"/>
    <col min="17" max="17" width="1" style="90" customWidth="1"/>
    <col min="18" max="18" width="5" style="96" customWidth="1"/>
    <col min="19" max="19" width="10" style="90" customWidth="1"/>
    <col min="20" max="20" width="1.85546875" style="90" customWidth="1"/>
    <col min="21" max="25" width="9.140625" style="90"/>
    <col min="26" max="28" width="9.140625" style="9"/>
  </cols>
  <sheetData>
    <row r="1" spans="1:975" s="122" customFormat="1" ht="3.75" customHeight="1">
      <c r="A1" s="121"/>
      <c r="B1" s="121"/>
    </row>
    <row r="2" spans="1:975" s="124" customFormat="1" ht="57" customHeight="1">
      <c r="A2" s="123"/>
      <c r="B2" s="123"/>
      <c r="C2" s="213"/>
      <c r="D2" s="213"/>
      <c r="E2" s="213"/>
      <c r="F2" s="213"/>
      <c r="G2" s="213"/>
      <c r="H2" s="213"/>
      <c r="I2" s="213"/>
      <c r="J2" s="213"/>
      <c r="K2" s="213"/>
      <c r="L2" s="213"/>
      <c r="M2" s="213"/>
      <c r="O2" s="214"/>
      <c r="P2" s="214"/>
      <c r="Q2" s="214"/>
      <c r="R2" s="214"/>
      <c r="S2" s="214"/>
      <c r="T2" s="214"/>
      <c r="U2" s="214"/>
      <c r="V2" s="214"/>
      <c r="W2" s="214"/>
      <c r="X2" s="125"/>
      <c r="Y2" s="214"/>
      <c r="Z2" s="214"/>
      <c r="AA2" s="125"/>
      <c r="AB2" s="125"/>
      <c r="AC2" s="125"/>
    </row>
    <row r="3" spans="1:975" ht="42.75">
      <c r="A3" s="56"/>
      <c r="B3" s="56"/>
      <c r="I3" s="104" t="s">
        <v>101</v>
      </c>
      <c r="O3" s="105" t="s">
        <v>93</v>
      </c>
      <c r="P3" s="10"/>
      <c r="R3" s="99"/>
      <c r="S3" s="99"/>
      <c r="U3"/>
      <c r="V3"/>
      <c r="W3"/>
      <c r="X3"/>
      <c r="Y3"/>
      <c r="AHY3" s="117" t="s">
        <v>113</v>
      </c>
      <c r="AIO3" s="117" t="s">
        <v>115</v>
      </c>
      <c r="AJD3" s="117" t="s">
        <v>113</v>
      </c>
      <c r="AKM3" s="117" t="s">
        <v>115</v>
      </c>
    </row>
    <row r="4" spans="1:975" ht="15">
      <c r="A4" s="57"/>
      <c r="B4" s="57"/>
      <c r="I4" s="71" t="s">
        <v>79</v>
      </c>
      <c r="R4" s="216" t="s">
        <v>29</v>
      </c>
      <c r="S4" s="216"/>
      <c r="U4"/>
      <c r="V4"/>
      <c r="W4"/>
      <c r="X4"/>
      <c r="Y4"/>
    </row>
    <row r="5" spans="1:975" ht="15">
      <c r="A5" s="56"/>
      <c r="B5" s="56"/>
      <c r="I5" s="71" t="s">
        <v>80</v>
      </c>
      <c r="M5" s="20" t="s">
        <v>0</v>
      </c>
      <c r="N5" s="177"/>
      <c r="O5" s="177"/>
      <c r="P5" s="11"/>
      <c r="R5" s="217" t="s">
        <v>99</v>
      </c>
      <c r="S5" s="217"/>
      <c r="U5"/>
      <c r="V5"/>
      <c r="W5"/>
      <c r="X5"/>
      <c r="Y5"/>
    </row>
    <row r="6" spans="1:975" ht="15">
      <c r="A6" s="57"/>
      <c r="B6" s="57"/>
      <c r="I6" s="71" t="s">
        <v>81</v>
      </c>
      <c r="M6" s="20" t="s">
        <v>66</v>
      </c>
      <c r="N6" s="178"/>
      <c r="O6" s="178"/>
      <c r="P6" s="12"/>
      <c r="R6" s="216" t="s">
        <v>30</v>
      </c>
      <c r="S6" s="216"/>
      <c r="U6"/>
      <c r="V6"/>
      <c r="W6"/>
      <c r="X6"/>
      <c r="Y6"/>
    </row>
    <row r="7" spans="1:975" ht="13.5" customHeight="1">
      <c r="I7" s="71" t="s">
        <v>94</v>
      </c>
      <c r="M7" s="8"/>
      <c r="N7" s="8"/>
      <c r="O7" s="1"/>
      <c r="P7" s="12"/>
      <c r="R7" s="217" t="s">
        <v>78</v>
      </c>
      <c r="S7" s="217"/>
      <c r="U7"/>
      <c r="V7"/>
      <c r="W7"/>
      <c r="X7"/>
      <c r="Y7"/>
    </row>
    <row r="8" spans="1:975" ht="10.5" customHeight="1">
      <c r="A8" s="59"/>
      <c r="B8" s="59"/>
      <c r="C8" s="25" t="s">
        <v>11</v>
      </c>
      <c r="R8" s="100"/>
      <c r="S8" s="100"/>
      <c r="U8"/>
      <c r="V8"/>
      <c r="W8"/>
      <c r="X8"/>
      <c r="Y8"/>
    </row>
    <row r="9" spans="1:975" ht="17.100000000000001" customHeight="1">
      <c r="A9" s="60"/>
      <c r="B9" s="60"/>
      <c r="C9" s="26">
        <v>1</v>
      </c>
      <c r="D9" s="27"/>
      <c r="F9" s="8" t="s">
        <v>84</v>
      </c>
      <c r="G9" s="84" t="s">
        <v>85</v>
      </c>
      <c r="H9" s="44"/>
      <c r="I9" s="45"/>
      <c r="J9" s="45"/>
      <c r="U9"/>
      <c r="V9"/>
      <c r="W9"/>
      <c r="X9"/>
      <c r="Y9"/>
    </row>
    <row r="10" spans="1:975" ht="17.100000000000001" customHeight="1">
      <c r="A10" s="60"/>
      <c r="B10" s="60"/>
      <c r="C10" s="26">
        <v>0</v>
      </c>
      <c r="D10" s="27"/>
      <c r="G10" s="84" t="s">
        <v>56</v>
      </c>
      <c r="H10" s="204"/>
      <c r="I10" s="204"/>
      <c r="J10" s="204"/>
      <c r="U10"/>
      <c r="V10"/>
      <c r="W10"/>
      <c r="X10"/>
      <c r="Y10"/>
      <c r="AG10" s="7" t="s">
        <v>2</v>
      </c>
      <c r="AH10" s="7"/>
    </row>
    <row r="11" spans="1:975" ht="17.100000000000001" customHeight="1">
      <c r="A11" s="60"/>
      <c r="B11" s="60"/>
      <c r="C11" s="26">
        <v>0</v>
      </c>
      <c r="D11" s="27"/>
      <c r="G11" s="84" t="s">
        <v>79</v>
      </c>
      <c r="H11" s="204"/>
      <c r="I11" s="204"/>
      <c r="J11" s="204"/>
      <c r="U11"/>
      <c r="V11"/>
      <c r="W11"/>
      <c r="X11"/>
      <c r="Y11"/>
      <c r="AF11" s="84" t="s">
        <v>56</v>
      </c>
      <c r="AG11" s="183"/>
      <c r="AH11" s="183"/>
      <c r="AI11" s="183"/>
    </row>
    <row r="12" spans="1:975" ht="17.100000000000001" customHeight="1">
      <c r="A12" s="60"/>
      <c r="B12" s="60"/>
      <c r="C12" s="26">
        <v>7.0000000000000007E-2</v>
      </c>
      <c r="D12" s="27"/>
      <c r="G12" s="84" t="s">
        <v>86</v>
      </c>
      <c r="H12" s="204"/>
      <c r="I12" s="204"/>
      <c r="J12" s="204"/>
      <c r="U12"/>
      <c r="V12"/>
      <c r="W12"/>
      <c r="X12"/>
      <c r="Y12"/>
      <c r="AF12" s="84" t="s">
        <v>79</v>
      </c>
      <c r="AG12" s="183"/>
      <c r="AH12" s="183"/>
      <c r="AI12" s="183"/>
    </row>
    <row r="13" spans="1:975" ht="17.100000000000001" hidden="1" customHeight="1">
      <c r="A13" s="60"/>
      <c r="B13" s="60"/>
      <c r="C13" s="26">
        <v>3.2000000000000001E-2</v>
      </c>
      <c r="D13" s="27"/>
      <c r="G13" s="84" t="s">
        <v>87</v>
      </c>
      <c r="H13" s="204"/>
      <c r="I13" s="204"/>
      <c r="J13" s="204"/>
      <c r="U13"/>
      <c r="V13"/>
      <c r="W13"/>
      <c r="X13"/>
      <c r="Y13"/>
      <c r="AF13" s="84" t="s">
        <v>86</v>
      </c>
      <c r="AG13" s="183"/>
      <c r="AH13" s="183"/>
      <c r="AI13" s="183"/>
    </row>
    <row r="14" spans="1:975" ht="17.100000000000001" customHeight="1">
      <c r="A14" s="60"/>
      <c r="B14" s="60"/>
      <c r="G14" s="84" t="s">
        <v>81</v>
      </c>
      <c r="H14" s="204"/>
      <c r="I14" s="204"/>
      <c r="J14" s="204"/>
      <c r="U14"/>
      <c r="V14"/>
      <c r="W14"/>
      <c r="X14"/>
      <c r="Y14"/>
      <c r="AF14" s="84" t="s">
        <v>87</v>
      </c>
      <c r="AG14" s="183"/>
      <c r="AH14" s="183"/>
      <c r="AI14" s="183"/>
    </row>
    <row r="15" spans="1:975" ht="13.5" customHeight="1">
      <c r="A15" s="60"/>
      <c r="B15" s="60"/>
      <c r="U15"/>
      <c r="V15"/>
      <c r="W15"/>
      <c r="X15"/>
      <c r="Y15"/>
      <c r="AF15" s="84" t="s">
        <v>88</v>
      </c>
      <c r="AG15" s="183"/>
      <c r="AH15" s="183"/>
      <c r="AI15" s="183"/>
    </row>
    <row r="16" spans="1:975" s="2" customFormat="1" ht="20.100000000000001" customHeight="1">
      <c r="A16" s="61"/>
      <c r="B16" s="61"/>
      <c r="C16" s="22"/>
      <c r="D16" s="22"/>
      <c r="E16" s="47"/>
      <c r="F16" s="179" t="s">
        <v>67</v>
      </c>
      <c r="G16" s="180"/>
      <c r="H16" s="179" t="s">
        <v>68</v>
      </c>
      <c r="I16" s="180"/>
      <c r="J16" s="126" t="s">
        <v>69</v>
      </c>
      <c r="K16" s="179" t="s">
        <v>70</v>
      </c>
      <c r="L16" s="180"/>
      <c r="M16" s="127" t="s">
        <v>5</v>
      </c>
      <c r="N16" s="179" t="s">
        <v>4</v>
      </c>
      <c r="O16" s="180"/>
      <c r="P16" s="13"/>
      <c r="Q16" s="92"/>
      <c r="R16" s="93"/>
      <c r="S16" s="92"/>
      <c r="T16" s="92"/>
      <c r="U16"/>
      <c r="V16"/>
      <c r="W16"/>
      <c r="X16"/>
      <c r="Y16"/>
      <c r="Z16" s="9"/>
      <c r="AA16" s="9"/>
      <c r="AB16" s="9"/>
      <c r="AC16"/>
      <c r="AD16"/>
      <c r="AE16"/>
      <c r="AF16"/>
      <c r="AG16"/>
      <c r="AH16"/>
      <c r="AI16"/>
    </row>
    <row r="17" spans="1:35" s="2" customFormat="1" ht="20.100000000000001" customHeight="1">
      <c r="A17" s="61"/>
      <c r="B17" s="61"/>
      <c r="C17" s="22"/>
      <c r="D17" s="22"/>
      <c r="E17" s="47"/>
      <c r="F17" s="181"/>
      <c r="G17" s="182"/>
      <c r="H17" s="181"/>
      <c r="I17" s="182"/>
      <c r="J17" s="64"/>
      <c r="K17" s="205"/>
      <c r="L17" s="206"/>
      <c r="M17" s="24"/>
      <c r="N17" s="181"/>
      <c r="O17" s="182"/>
      <c r="P17" s="14"/>
      <c r="Q17" s="92"/>
      <c r="R17" s="93"/>
      <c r="S17" s="92"/>
      <c r="T17" s="92"/>
      <c r="U17"/>
      <c r="V17"/>
      <c r="W17"/>
      <c r="X17"/>
      <c r="Y17"/>
      <c r="Z17" s="9"/>
      <c r="AA17" s="9"/>
      <c r="AB17" s="9"/>
      <c r="AC17"/>
      <c r="AD17"/>
      <c r="AE17"/>
      <c r="AF17"/>
      <c r="AG17"/>
      <c r="AH17"/>
      <c r="AI17"/>
    </row>
    <row r="18" spans="1:35" ht="3" customHeight="1">
      <c r="R18" s="91"/>
      <c r="U18"/>
      <c r="V18"/>
      <c r="W18"/>
      <c r="X18"/>
      <c r="Y18"/>
    </row>
    <row r="19" spans="1:35" s="2" customFormat="1" ht="20.100000000000001" customHeight="1">
      <c r="C19" s="22" t="s">
        <v>8</v>
      </c>
      <c r="D19" s="22" t="s">
        <v>31</v>
      </c>
      <c r="E19" s="47"/>
      <c r="F19" s="179" t="s">
        <v>96</v>
      </c>
      <c r="G19" s="209"/>
      <c r="H19" s="209"/>
      <c r="I19" s="180"/>
      <c r="J19" s="128" t="s">
        <v>77</v>
      </c>
      <c r="K19" s="179" t="s">
        <v>71</v>
      </c>
      <c r="L19" s="180"/>
      <c r="M19" s="128" t="s">
        <v>75</v>
      </c>
      <c r="N19" s="128" t="s">
        <v>76</v>
      </c>
      <c r="O19" s="127" t="s">
        <v>98</v>
      </c>
      <c r="P19" s="102"/>
      <c r="Q19" s="92"/>
      <c r="R19" s="94" t="s">
        <v>82</v>
      </c>
      <c r="S19" s="101" t="s">
        <v>97</v>
      </c>
      <c r="T19" s="90"/>
      <c r="U19"/>
      <c r="V19"/>
      <c r="W19"/>
      <c r="X19"/>
      <c r="Y19"/>
      <c r="Z19" s="9"/>
      <c r="AA19" s="9"/>
      <c r="AB19" s="9"/>
      <c r="AC19"/>
      <c r="AD19"/>
      <c r="AE19"/>
      <c r="AF19"/>
      <c r="AG19"/>
      <c r="AH19"/>
      <c r="AI19"/>
    </row>
    <row r="20" spans="1:35" s="2" customFormat="1" ht="15.95" customHeight="1">
      <c r="C20" s="23" t="b">
        <v>0</v>
      </c>
      <c r="D20" s="23">
        <v>0</v>
      </c>
      <c r="E20" s="47"/>
      <c r="F20" s="210"/>
      <c r="G20" s="211"/>
      <c r="H20" s="211"/>
      <c r="I20" s="212"/>
      <c r="J20" s="73">
        <v>0</v>
      </c>
      <c r="K20" s="218">
        <v>0</v>
      </c>
      <c r="L20" s="219"/>
      <c r="M20" s="79">
        <f>ROUND(oknPrice_1*oknQuantity_1,2)</f>
        <v>0</v>
      </c>
      <c r="N20" s="65">
        <f>ROUND(IF(oknTaxable_1,oknTotalNet_1*oknTax1Rate,0),2)</f>
        <v>0</v>
      </c>
      <c r="O20" s="65">
        <f>oknTotalNet_1+oknVat_1</f>
        <v>0</v>
      </c>
      <c r="P20" s="15"/>
      <c r="Q20" s="92"/>
      <c r="R20" s="94">
        <v>1</v>
      </c>
      <c r="S20" s="103"/>
      <c r="T20" s="90"/>
      <c r="U20"/>
      <c r="V20"/>
      <c r="W20"/>
      <c r="X20"/>
      <c r="Y20"/>
      <c r="Z20" s="9"/>
      <c r="AA20" s="9"/>
      <c r="AB20" s="9"/>
      <c r="AC20"/>
      <c r="AD20"/>
      <c r="AE20"/>
      <c r="AF20"/>
      <c r="AG20"/>
      <c r="AH20"/>
      <c r="AI20"/>
    </row>
    <row r="21" spans="1:35" s="2" customFormat="1" ht="15.95" customHeight="1">
      <c r="C21" s="23">
        <v>0</v>
      </c>
      <c r="D21" s="23">
        <v>0</v>
      </c>
      <c r="E21" s="47"/>
      <c r="F21" s="189"/>
      <c r="G21" s="190"/>
      <c r="H21" s="190"/>
      <c r="I21" s="191"/>
      <c r="J21" s="74">
        <v>0</v>
      </c>
      <c r="K21" s="192">
        <v>0</v>
      </c>
      <c r="L21" s="193"/>
      <c r="M21" s="80">
        <f>ROUND(oknPrice_2*oknQuantity_2,2)</f>
        <v>0</v>
      </c>
      <c r="N21" s="66">
        <f>ROUND(IF(oknTaxable_2,oknTotalNet_2*oknTax1Rate,0),2)</f>
        <v>0</v>
      </c>
      <c r="O21" s="66">
        <f>oknTotalNet_2+oknVat_2</f>
        <v>0</v>
      </c>
      <c r="P21" s="16"/>
      <c r="Q21" s="92"/>
      <c r="R21" s="94">
        <v>2</v>
      </c>
      <c r="S21" s="103"/>
      <c r="T21" s="90"/>
      <c r="U21"/>
      <c r="V21"/>
      <c r="W21"/>
      <c r="X21"/>
      <c r="Y21"/>
      <c r="Z21" s="9"/>
      <c r="AA21" s="9"/>
      <c r="AB21" s="9"/>
      <c r="AC21"/>
      <c r="AD21"/>
      <c r="AE21"/>
      <c r="AF21"/>
      <c r="AG21"/>
      <c r="AH21"/>
      <c r="AI21"/>
    </row>
    <row r="22" spans="1:35" s="2" customFormat="1" ht="15.95" customHeight="1">
      <c r="C22" s="23">
        <v>0</v>
      </c>
      <c r="D22" s="23">
        <v>0</v>
      </c>
      <c r="E22" s="47"/>
      <c r="F22" s="184"/>
      <c r="G22" s="185"/>
      <c r="H22" s="185"/>
      <c r="I22" s="186"/>
      <c r="J22" s="75">
        <v>0</v>
      </c>
      <c r="K22" s="187">
        <v>0</v>
      </c>
      <c r="L22" s="188"/>
      <c r="M22" s="81">
        <f>ROUND(oknPrice_3*oknQuantity_3,2)</f>
        <v>0</v>
      </c>
      <c r="N22" s="67">
        <f>ROUND(IF(oknTaxable_3,oknTotalNet_3*oknTax1Rate,0),2)</f>
        <v>0</v>
      </c>
      <c r="O22" s="67">
        <f>oknTotalNet_3+oknVat_3</f>
        <v>0</v>
      </c>
      <c r="P22" s="16"/>
      <c r="Q22" s="92"/>
      <c r="R22" s="94">
        <v>3</v>
      </c>
      <c r="S22" s="103"/>
      <c r="T22" s="90"/>
      <c r="U22"/>
      <c r="V22"/>
      <c r="W22"/>
      <c r="X22"/>
      <c r="Y22"/>
      <c r="Z22" s="9"/>
      <c r="AA22" s="9"/>
      <c r="AB22" s="9"/>
      <c r="AC22"/>
      <c r="AD22"/>
      <c r="AE22"/>
      <c r="AF22"/>
      <c r="AG22"/>
      <c r="AH22"/>
      <c r="AI22"/>
    </row>
    <row r="23" spans="1:35" s="2" customFormat="1" ht="15.95" customHeight="1">
      <c r="C23" s="23">
        <v>0</v>
      </c>
      <c r="D23" s="23">
        <v>0</v>
      </c>
      <c r="E23" s="47"/>
      <c r="F23" s="189"/>
      <c r="G23" s="190"/>
      <c r="H23" s="190"/>
      <c r="I23" s="191"/>
      <c r="J23" s="74">
        <v>0</v>
      </c>
      <c r="K23" s="192">
        <v>0</v>
      </c>
      <c r="L23" s="193"/>
      <c r="M23" s="80">
        <f>ROUND(oknPrice_4*oknQuantity_4,2)</f>
        <v>0</v>
      </c>
      <c r="N23" s="66">
        <f>ROUND(IF(oknTaxable_4,oknTotalNet_4*oknTax1Rate,0),2)</f>
        <v>0</v>
      </c>
      <c r="O23" s="66">
        <f>oknTotalNet_4+oknVat_4</f>
        <v>0</v>
      </c>
      <c r="P23" s="16"/>
      <c r="Q23" s="92"/>
      <c r="R23" s="94">
        <v>4</v>
      </c>
      <c r="S23" s="103"/>
      <c r="T23" s="90"/>
      <c r="U23"/>
      <c r="V23"/>
      <c r="W23"/>
      <c r="X23"/>
      <c r="Y23"/>
      <c r="Z23" s="9"/>
      <c r="AA23" s="9"/>
      <c r="AB23" s="9"/>
      <c r="AC23"/>
      <c r="AD23"/>
      <c r="AE23"/>
      <c r="AF23"/>
      <c r="AG23"/>
      <c r="AH23"/>
      <c r="AI23"/>
    </row>
    <row r="24" spans="1:35" s="2" customFormat="1" ht="15.95" customHeight="1">
      <c r="C24" s="23">
        <v>0</v>
      </c>
      <c r="D24" s="23">
        <v>0</v>
      </c>
      <c r="E24" s="47"/>
      <c r="F24" s="184"/>
      <c r="G24" s="185"/>
      <c r="H24" s="185"/>
      <c r="I24" s="186"/>
      <c r="J24" s="75">
        <v>0</v>
      </c>
      <c r="K24" s="187">
        <v>0</v>
      </c>
      <c r="L24" s="188"/>
      <c r="M24" s="81">
        <f>ROUND(oknPrice_5*oknQuantity_5,2)</f>
        <v>0</v>
      </c>
      <c r="N24" s="67">
        <f>ROUND(IF(oknTaxable_5,oknTotalNet_5*oknTax1Rate,0),2)</f>
        <v>0</v>
      </c>
      <c r="O24" s="67">
        <f>oknTotalNet_5+oknVat_5</f>
        <v>0</v>
      </c>
      <c r="P24" s="16"/>
      <c r="Q24" s="92"/>
      <c r="R24" s="94">
        <v>5</v>
      </c>
      <c r="S24" s="103"/>
      <c r="T24" s="90"/>
      <c r="U24"/>
      <c r="V24"/>
      <c r="W24"/>
      <c r="X24"/>
      <c r="Y24"/>
      <c r="Z24" s="9"/>
      <c r="AA24" s="9"/>
      <c r="AB24" s="9"/>
      <c r="AC24"/>
      <c r="AD24"/>
      <c r="AE24"/>
      <c r="AF24"/>
      <c r="AG24"/>
      <c r="AH24"/>
      <c r="AI24"/>
    </row>
    <row r="25" spans="1:35" s="2" customFormat="1" ht="15.95" customHeight="1">
      <c r="C25" s="23">
        <v>0</v>
      </c>
      <c r="D25" s="23">
        <v>0</v>
      </c>
      <c r="E25" s="47"/>
      <c r="F25" s="189"/>
      <c r="G25" s="190"/>
      <c r="H25" s="190"/>
      <c r="I25" s="191"/>
      <c r="J25" s="74">
        <v>0</v>
      </c>
      <c r="K25" s="192">
        <v>0</v>
      </c>
      <c r="L25" s="193"/>
      <c r="M25" s="80">
        <f>ROUND(oknPrice_6*oknQuantity_6,2)</f>
        <v>0</v>
      </c>
      <c r="N25" s="66">
        <f>ROUND(IF(oknTaxable_6,oknTotalNet_6*oknTax1Rate,0),2)</f>
        <v>0</v>
      </c>
      <c r="O25" s="66">
        <f>oknTotalNet_6+oknVat_6</f>
        <v>0</v>
      </c>
      <c r="P25" s="16"/>
      <c r="Q25" s="92"/>
      <c r="R25" s="94">
        <v>6</v>
      </c>
      <c r="S25" s="103"/>
      <c r="T25" s="90"/>
      <c r="U25"/>
      <c r="V25"/>
      <c r="W25"/>
      <c r="X25"/>
      <c r="Y25"/>
      <c r="Z25" s="9"/>
      <c r="AA25" s="9"/>
      <c r="AB25" s="9"/>
      <c r="AC25"/>
      <c r="AD25"/>
      <c r="AE25"/>
      <c r="AF25"/>
      <c r="AG25"/>
      <c r="AH25"/>
      <c r="AI25"/>
    </row>
    <row r="26" spans="1:35" s="2" customFormat="1" ht="15.95" customHeight="1">
      <c r="C26" s="23">
        <v>0</v>
      </c>
      <c r="D26" s="23">
        <v>0</v>
      </c>
      <c r="E26" s="47"/>
      <c r="F26" s="184"/>
      <c r="G26" s="185"/>
      <c r="H26" s="185"/>
      <c r="I26" s="186"/>
      <c r="J26" s="75">
        <v>0</v>
      </c>
      <c r="K26" s="187">
        <v>0</v>
      </c>
      <c r="L26" s="188"/>
      <c r="M26" s="81">
        <f>ROUND(oknPrice_7*oknQuantity_7,2)</f>
        <v>0</v>
      </c>
      <c r="N26" s="67">
        <f>ROUND(IF(oknTaxable_7,oknTotalNet_7*oknTax1Rate,0),2)</f>
        <v>0</v>
      </c>
      <c r="O26" s="67">
        <f>oknTotalNet_7+oknVat_7</f>
        <v>0</v>
      </c>
      <c r="P26" s="16"/>
      <c r="Q26" s="92"/>
      <c r="R26" s="94">
        <v>7</v>
      </c>
      <c r="S26" s="103"/>
      <c r="T26" s="92"/>
      <c r="U26" s="176" t="s">
        <v>89</v>
      </c>
      <c r="V26" s="176"/>
      <c r="W26" s="176"/>
      <c r="X26" s="176"/>
      <c r="Y26" s="176"/>
      <c r="Z26" s="9"/>
      <c r="AA26" s="9"/>
      <c r="AB26" s="9"/>
      <c r="AC26"/>
      <c r="AD26"/>
      <c r="AE26"/>
      <c r="AF26"/>
      <c r="AG26"/>
      <c r="AH26"/>
      <c r="AI26"/>
    </row>
    <row r="27" spans="1:35" s="2" customFormat="1" ht="15.95" customHeight="1">
      <c r="C27" s="23">
        <v>0</v>
      </c>
      <c r="D27" s="23">
        <v>0</v>
      </c>
      <c r="E27" s="47"/>
      <c r="F27" s="189"/>
      <c r="G27" s="190"/>
      <c r="H27" s="190"/>
      <c r="I27" s="191"/>
      <c r="J27" s="74">
        <v>0</v>
      </c>
      <c r="K27" s="192">
        <v>0</v>
      </c>
      <c r="L27" s="193"/>
      <c r="M27" s="80">
        <f>ROUND(oknPrice_8*oknQuantity_8,2)</f>
        <v>0</v>
      </c>
      <c r="N27" s="66">
        <f>ROUND(IF(oknTaxable_8,oknTotalNet_8*oknTax1Rate,0),2)</f>
        <v>0</v>
      </c>
      <c r="O27" s="66">
        <f>oknTotalNet_8+oknVat_8</f>
        <v>0</v>
      </c>
      <c r="P27" s="16"/>
      <c r="Q27" s="92"/>
      <c r="R27" s="94">
        <v>8</v>
      </c>
      <c r="S27" s="103"/>
      <c r="T27" s="92"/>
      <c r="U27" s="176"/>
      <c r="V27" s="176"/>
      <c r="W27" s="176"/>
      <c r="X27" s="176"/>
      <c r="Y27" s="176"/>
      <c r="Z27" s="9"/>
      <c r="AA27" s="9"/>
      <c r="AB27" s="9"/>
      <c r="AC27"/>
      <c r="AD27"/>
      <c r="AE27"/>
      <c r="AF27"/>
      <c r="AG27"/>
      <c r="AH27"/>
      <c r="AI27"/>
    </row>
    <row r="28" spans="1:35" s="2" customFormat="1" ht="15.95" customHeight="1">
      <c r="C28" s="23">
        <v>0</v>
      </c>
      <c r="D28" s="23">
        <v>0</v>
      </c>
      <c r="E28" s="47"/>
      <c r="F28" s="184"/>
      <c r="G28" s="185"/>
      <c r="H28" s="185"/>
      <c r="I28" s="186"/>
      <c r="J28" s="75">
        <v>0</v>
      </c>
      <c r="K28" s="187">
        <v>0</v>
      </c>
      <c r="L28" s="188"/>
      <c r="M28" s="81">
        <f>ROUND(oknPrice_9*oknQuantity_9,2)</f>
        <v>0</v>
      </c>
      <c r="N28" s="67">
        <f>ROUND(IF(oknTaxable_9,oknTotalNet_9*oknTax1Rate,0),2)</f>
        <v>0</v>
      </c>
      <c r="O28" s="67">
        <f>oknTotalNet_9+oknVat_9</f>
        <v>0</v>
      </c>
      <c r="P28" s="16"/>
      <c r="Q28" s="92"/>
      <c r="R28" s="94">
        <v>9</v>
      </c>
      <c r="S28" s="103"/>
      <c r="T28" s="90"/>
      <c r="U28" s="176"/>
      <c r="V28" s="176"/>
      <c r="W28" s="176"/>
      <c r="X28" s="176"/>
      <c r="Y28" s="176"/>
      <c r="Z28" s="9"/>
      <c r="AA28" s="9"/>
      <c r="AB28" s="9"/>
      <c r="AC28"/>
      <c r="AD28"/>
      <c r="AE28"/>
      <c r="AF28"/>
      <c r="AG28"/>
      <c r="AH28"/>
      <c r="AI28"/>
    </row>
    <row r="29" spans="1:35" s="2" customFormat="1" ht="15.95" customHeight="1">
      <c r="C29" s="23">
        <v>0</v>
      </c>
      <c r="D29" s="23">
        <v>0</v>
      </c>
      <c r="E29" s="47"/>
      <c r="F29" s="189"/>
      <c r="G29" s="190"/>
      <c r="H29" s="190"/>
      <c r="I29" s="191"/>
      <c r="J29" s="74">
        <v>0</v>
      </c>
      <c r="K29" s="192">
        <v>0</v>
      </c>
      <c r="L29" s="193"/>
      <c r="M29" s="80">
        <f>ROUND(oknPrice_10*oknQuantity_10,2)</f>
        <v>0</v>
      </c>
      <c r="N29" s="66">
        <f>ROUND(IF(oknTaxable_10,oknTotalNet_10*oknTax1Rate,0),2)</f>
        <v>0</v>
      </c>
      <c r="O29" s="66">
        <f>oknTotalNet_10+oknVat_10</f>
        <v>0</v>
      </c>
      <c r="P29" s="16"/>
      <c r="Q29" s="92"/>
      <c r="R29" s="94">
        <v>10</v>
      </c>
      <c r="S29" s="103"/>
      <c r="T29" s="90"/>
      <c r="U29" s="176"/>
      <c r="V29" s="176"/>
      <c r="W29" s="176"/>
      <c r="X29" s="176"/>
      <c r="Y29" s="176"/>
      <c r="Z29" s="129"/>
      <c r="AA29" s="129"/>
      <c r="AB29" s="129"/>
      <c r="AC29"/>
      <c r="AD29"/>
      <c r="AE29"/>
      <c r="AF29"/>
      <c r="AG29"/>
      <c r="AH29"/>
      <c r="AI29"/>
    </row>
    <row r="30" spans="1:35" s="2" customFormat="1" ht="15.95" customHeight="1">
      <c r="C30" s="23">
        <v>0</v>
      </c>
      <c r="D30" s="23">
        <v>0</v>
      </c>
      <c r="E30" s="47"/>
      <c r="F30" s="184"/>
      <c r="G30" s="185"/>
      <c r="H30" s="185"/>
      <c r="I30" s="186"/>
      <c r="J30" s="75">
        <v>0</v>
      </c>
      <c r="K30" s="187">
        <v>0</v>
      </c>
      <c r="L30" s="188"/>
      <c r="M30" s="81">
        <f>ROUND(oknPrice_11*oknQuantity_11,2)</f>
        <v>0</v>
      </c>
      <c r="N30" s="67">
        <f>ROUND(IF(oknTaxable_11,oknTotalNet_11*oknTax1Rate,0),2)</f>
        <v>0</v>
      </c>
      <c r="O30" s="67">
        <f>oknTotalNet_11+oknVat_11</f>
        <v>0</v>
      </c>
      <c r="P30" s="16"/>
      <c r="Q30" s="92"/>
      <c r="R30" s="94">
        <v>11</v>
      </c>
      <c r="S30" s="103"/>
      <c r="T30" s="90"/>
      <c r="U30" s="176"/>
      <c r="V30" s="176"/>
      <c r="W30" s="176"/>
      <c r="X30" s="176"/>
      <c r="Y30" s="176"/>
      <c r="Z30" s="129"/>
      <c r="AA30" s="129"/>
      <c r="AB30" s="129"/>
      <c r="AC30"/>
      <c r="AD30"/>
      <c r="AE30"/>
      <c r="AF30"/>
      <c r="AG30"/>
      <c r="AH30"/>
      <c r="AI30"/>
    </row>
    <row r="31" spans="1:35" s="2" customFormat="1" ht="15.95" customHeight="1">
      <c r="C31" s="23">
        <v>0</v>
      </c>
      <c r="D31" s="23">
        <v>0</v>
      </c>
      <c r="E31" s="47"/>
      <c r="F31" s="189"/>
      <c r="G31" s="190"/>
      <c r="H31" s="190"/>
      <c r="I31" s="191"/>
      <c r="J31" s="74">
        <v>0</v>
      </c>
      <c r="K31" s="192">
        <v>0</v>
      </c>
      <c r="L31" s="193"/>
      <c r="M31" s="80">
        <f>ROUND(oknPrice_12*oknQuantity_12,2)</f>
        <v>0</v>
      </c>
      <c r="N31" s="66">
        <f>ROUND(IF(oknTaxable_12,oknTotalNet_12*oknTax1Rate,0),2)</f>
        <v>0</v>
      </c>
      <c r="O31" s="66">
        <f>oknTotalNet_12+oknVat_12</f>
        <v>0</v>
      </c>
      <c r="P31" s="16"/>
      <c r="Q31" s="92"/>
      <c r="R31" s="94">
        <v>12</v>
      </c>
      <c r="S31" s="103"/>
      <c r="T31" s="90"/>
      <c r="U31" s="215" t="s">
        <v>90</v>
      </c>
      <c r="V31" s="215"/>
      <c r="W31" s="215"/>
      <c r="X31" s="215"/>
      <c r="Y31" s="215"/>
      <c r="Z31" s="129"/>
      <c r="AA31" s="129"/>
      <c r="AB31" s="129"/>
      <c r="AC31"/>
      <c r="AD31"/>
      <c r="AE31"/>
      <c r="AF31"/>
      <c r="AG31"/>
      <c r="AH31"/>
      <c r="AI31"/>
    </row>
    <row r="32" spans="1:35" s="2" customFormat="1" ht="15.95" customHeight="1">
      <c r="C32" s="23">
        <v>0</v>
      </c>
      <c r="D32" s="23">
        <v>0</v>
      </c>
      <c r="E32" s="47"/>
      <c r="F32" s="184"/>
      <c r="G32" s="185"/>
      <c r="H32" s="185"/>
      <c r="I32" s="186"/>
      <c r="J32" s="76">
        <v>0</v>
      </c>
      <c r="K32" s="187">
        <v>0</v>
      </c>
      <c r="L32" s="188"/>
      <c r="M32" s="81">
        <f>ROUND(oknPrice_13*oknQuantity_13,2)</f>
        <v>0</v>
      </c>
      <c r="N32" s="69">
        <f>ROUND(IF(oknTaxable_13,oknTotalNet_13*oknTax1Rate,0),2)</f>
        <v>0</v>
      </c>
      <c r="O32" s="69">
        <f>oknTotalNet_13+oknVat_13</f>
        <v>0</v>
      </c>
      <c r="P32" s="15"/>
      <c r="Q32" s="92"/>
      <c r="R32" s="94">
        <v>13</v>
      </c>
      <c r="S32" s="103"/>
      <c r="T32" s="90"/>
      <c r="U32" s="215"/>
      <c r="V32" s="215"/>
      <c r="W32" s="215"/>
      <c r="X32" s="215"/>
      <c r="Y32" s="215"/>
      <c r="Z32" s="129"/>
      <c r="AA32" s="129"/>
      <c r="AB32" s="129"/>
      <c r="AC32"/>
      <c r="AD32"/>
      <c r="AE32"/>
      <c r="AF32"/>
      <c r="AG32"/>
      <c r="AH32"/>
      <c r="AI32"/>
    </row>
    <row r="33" spans="3:35" s="2" customFormat="1" ht="15.95" customHeight="1">
      <c r="C33" s="23">
        <v>0</v>
      </c>
      <c r="D33" s="23">
        <v>0</v>
      </c>
      <c r="E33" s="47"/>
      <c r="F33" s="189"/>
      <c r="G33" s="190"/>
      <c r="H33" s="190"/>
      <c r="I33" s="191"/>
      <c r="J33" s="74">
        <v>0</v>
      </c>
      <c r="K33" s="192">
        <v>0</v>
      </c>
      <c r="L33" s="193"/>
      <c r="M33" s="80">
        <f>ROUND(oknPrice_14*oknQuantity_14,2)</f>
        <v>0</v>
      </c>
      <c r="N33" s="66">
        <f>ROUND(IF(oknTaxable_14,oknTotalNet_14*oknTax1Rate,0),2)</f>
        <v>0</v>
      </c>
      <c r="O33" s="66">
        <f>oknTotalNet_14+oknVat_14</f>
        <v>0</v>
      </c>
      <c r="P33" s="16"/>
      <c r="Q33" s="92"/>
      <c r="R33" s="94">
        <v>14</v>
      </c>
      <c r="S33" s="103"/>
      <c r="T33" s="90"/>
      <c r="U33" s="215"/>
      <c r="V33" s="215"/>
      <c r="W33" s="215"/>
      <c r="X33" s="215"/>
      <c r="Y33" s="215"/>
      <c r="Z33" s="129"/>
      <c r="AA33" s="129"/>
      <c r="AB33" s="129"/>
      <c r="AC33"/>
      <c r="AD33"/>
      <c r="AE33"/>
      <c r="AF33"/>
      <c r="AG33"/>
      <c r="AH33"/>
      <c r="AI33"/>
    </row>
    <row r="34" spans="3:35" s="2" customFormat="1" ht="15.95" customHeight="1">
      <c r="C34" s="23">
        <v>0</v>
      </c>
      <c r="D34" s="23">
        <v>0</v>
      </c>
      <c r="E34" s="47"/>
      <c r="F34" s="184"/>
      <c r="G34" s="185"/>
      <c r="H34" s="185"/>
      <c r="I34" s="186"/>
      <c r="J34" s="76">
        <v>0</v>
      </c>
      <c r="K34" s="187">
        <v>0</v>
      </c>
      <c r="L34" s="188"/>
      <c r="M34" s="81">
        <f>ROUND(oknPrice_15*oknQuantity_15,2)</f>
        <v>0</v>
      </c>
      <c r="N34" s="69">
        <f>ROUND(IF(oknTaxable_15,oknTotalNet_15*oknTax1Rate,0),2)</f>
        <v>0</v>
      </c>
      <c r="O34" s="69">
        <f>oknTotalNet_15+oknVat_15</f>
        <v>0</v>
      </c>
      <c r="P34" s="15"/>
      <c r="Q34" s="92"/>
      <c r="R34" s="94">
        <v>15</v>
      </c>
      <c r="S34" s="103"/>
      <c r="T34" s="90"/>
      <c r="U34" s="92"/>
      <c r="V34" s="92"/>
      <c r="W34" s="92"/>
      <c r="X34" s="92"/>
      <c r="Y34" s="92"/>
      <c r="Z34" s="129"/>
      <c r="AA34" s="129"/>
      <c r="AB34" s="129"/>
      <c r="AC34"/>
      <c r="AD34"/>
      <c r="AE34"/>
      <c r="AF34"/>
      <c r="AG34"/>
      <c r="AH34"/>
      <c r="AI34"/>
    </row>
    <row r="35" spans="3:35" s="2" customFormat="1" ht="15.95" customHeight="1">
      <c r="C35" s="23">
        <v>0</v>
      </c>
      <c r="D35" s="23">
        <v>0</v>
      </c>
      <c r="E35" s="47"/>
      <c r="F35" s="189"/>
      <c r="G35" s="190"/>
      <c r="H35" s="190"/>
      <c r="I35" s="191"/>
      <c r="J35" s="74">
        <v>0</v>
      </c>
      <c r="K35" s="192">
        <v>0</v>
      </c>
      <c r="L35" s="193"/>
      <c r="M35" s="80">
        <f>ROUND(oknPrice_16*oknQuantity_16,2)</f>
        <v>0</v>
      </c>
      <c r="N35" s="66">
        <f>ROUND(IF(oknTaxable_16,oknTotalNet_16*oknTax1Rate,0),2)</f>
        <v>0</v>
      </c>
      <c r="O35" s="66">
        <f>oknTotalNet_16+oknVat_16</f>
        <v>0</v>
      </c>
      <c r="P35" s="16"/>
      <c r="Q35" s="92"/>
      <c r="R35" s="94">
        <v>16</v>
      </c>
      <c r="S35" s="103"/>
      <c r="T35" s="92"/>
      <c r="U35" s="92"/>
      <c r="V35" s="92"/>
      <c r="W35" s="92"/>
      <c r="X35" s="92"/>
      <c r="Y35" s="92"/>
      <c r="Z35" s="129"/>
      <c r="AA35" s="129"/>
      <c r="AB35" s="129"/>
      <c r="AC35"/>
      <c r="AD35"/>
      <c r="AE35"/>
      <c r="AF35"/>
      <c r="AG35"/>
      <c r="AH35"/>
      <c r="AI35"/>
    </row>
    <row r="36" spans="3:35" s="2" customFormat="1" ht="15.95" customHeight="1">
      <c r="C36" s="23">
        <v>0</v>
      </c>
      <c r="D36" s="23">
        <v>0</v>
      </c>
      <c r="E36" s="47"/>
      <c r="F36" s="184"/>
      <c r="G36" s="185"/>
      <c r="H36" s="185"/>
      <c r="I36" s="186"/>
      <c r="J36" s="76">
        <v>0</v>
      </c>
      <c r="K36" s="187">
        <v>0</v>
      </c>
      <c r="L36" s="188"/>
      <c r="M36" s="81">
        <f>ROUND(oknPrice_17*oknQuantity_17,2)</f>
        <v>0</v>
      </c>
      <c r="N36" s="69">
        <f>ROUND(IF(oknTaxable_17,oknTotalNet_17*oknTax1Rate,0),2)</f>
        <v>0</v>
      </c>
      <c r="O36" s="69">
        <f>oknTotalNet_17+oknVat_17</f>
        <v>0</v>
      </c>
      <c r="P36" s="15"/>
      <c r="Q36" s="92"/>
      <c r="R36" s="94">
        <v>17</v>
      </c>
      <c r="S36" s="103"/>
      <c r="T36" s="92"/>
      <c r="U36" s="92"/>
      <c r="V36" s="92"/>
      <c r="W36" s="92"/>
      <c r="X36" s="92"/>
      <c r="Y36" s="92"/>
      <c r="Z36" s="129"/>
      <c r="AA36" s="129"/>
      <c r="AB36" s="129"/>
      <c r="AC36"/>
      <c r="AD36"/>
      <c r="AE36"/>
      <c r="AF36"/>
      <c r="AG36"/>
      <c r="AH36"/>
      <c r="AI36"/>
    </row>
    <row r="37" spans="3:35" s="2" customFormat="1" ht="15.95" customHeight="1">
      <c r="C37" s="23">
        <v>0</v>
      </c>
      <c r="D37" s="23">
        <v>0</v>
      </c>
      <c r="E37" s="47"/>
      <c r="F37" s="199"/>
      <c r="G37" s="200"/>
      <c r="H37" s="200"/>
      <c r="I37" s="201"/>
      <c r="J37" s="78">
        <v>0</v>
      </c>
      <c r="K37" s="202">
        <v>0</v>
      </c>
      <c r="L37" s="203"/>
      <c r="M37" s="83">
        <f>ROUND(oknPrice_18*oknQuantity_18,2)</f>
        <v>0</v>
      </c>
      <c r="N37" s="68">
        <f>ROUND(IF(oknTaxable_18,oknTotalNet_18*oknTax1Rate,0),2)</f>
        <v>0</v>
      </c>
      <c r="O37" s="68">
        <f>oknTotalNet_18+oknVat_18</f>
        <v>0</v>
      </c>
      <c r="P37" s="16"/>
      <c r="Q37" s="92"/>
      <c r="R37" s="94">
        <v>18</v>
      </c>
      <c r="S37" s="103"/>
      <c r="T37" s="92"/>
      <c r="U37" s="92"/>
      <c r="V37" s="92"/>
      <c r="W37" s="92"/>
      <c r="X37" s="92"/>
      <c r="Y37" s="92"/>
      <c r="Z37" s="129"/>
      <c r="AA37" s="129"/>
      <c r="AB37" s="129"/>
      <c r="AC37"/>
      <c r="AD37"/>
      <c r="AE37"/>
      <c r="AF37"/>
      <c r="AG37"/>
      <c r="AH37"/>
      <c r="AI37"/>
    </row>
    <row r="38" spans="3:35" s="2" customFormat="1" ht="15.95" hidden="1" customHeight="1">
      <c r="C38" s="23">
        <v>0</v>
      </c>
      <c r="D38" s="23">
        <v>0</v>
      </c>
      <c r="E38" s="47"/>
      <c r="F38" s="184"/>
      <c r="G38" s="185"/>
      <c r="H38" s="185"/>
      <c r="I38" s="186"/>
      <c r="J38" s="76">
        <v>0</v>
      </c>
      <c r="K38" s="187">
        <v>0</v>
      </c>
      <c r="L38" s="188"/>
      <c r="M38" s="81">
        <f>ROUND(oknPrice_19*oknQuantity_19,2)</f>
        <v>0</v>
      </c>
      <c r="N38" s="69">
        <f>ROUND(IF(oknTaxable_19,oknTotalNet_19*oknTax1Rate,0),2)</f>
        <v>0</v>
      </c>
      <c r="O38" s="69">
        <f>oknTotalNet_19+oknVat_19</f>
        <v>0</v>
      </c>
      <c r="P38" s="15"/>
      <c r="Q38" s="92"/>
      <c r="R38" s="94">
        <v>19</v>
      </c>
      <c r="S38" s="92"/>
      <c r="T38" s="92"/>
      <c r="U38" s="92"/>
      <c r="V38" s="92"/>
      <c r="W38" s="92"/>
      <c r="X38" s="92"/>
      <c r="Y38" s="92"/>
      <c r="Z38" s="129"/>
      <c r="AA38" s="129"/>
      <c r="AB38" s="129"/>
      <c r="AC38"/>
      <c r="AD38"/>
      <c r="AE38"/>
      <c r="AF38"/>
      <c r="AG38"/>
      <c r="AH38"/>
      <c r="AI38"/>
    </row>
    <row r="39" spans="3:35" s="2" customFormat="1" ht="15.95" hidden="1" customHeight="1">
      <c r="C39" s="23">
        <v>0</v>
      </c>
      <c r="D39" s="23">
        <v>0</v>
      </c>
      <c r="E39" s="47"/>
      <c r="F39" s="189"/>
      <c r="G39" s="190"/>
      <c r="H39" s="190"/>
      <c r="I39" s="191"/>
      <c r="J39" s="74">
        <v>0</v>
      </c>
      <c r="K39" s="192">
        <v>0</v>
      </c>
      <c r="L39" s="193"/>
      <c r="M39" s="80">
        <f>ROUND(oknPrice_20*oknQuantity_20,2)</f>
        <v>0</v>
      </c>
      <c r="N39" s="66">
        <f>ROUND(IF(oknTaxable_20,oknTotalNet_20*oknTax1Rate,0),2)</f>
        <v>0</v>
      </c>
      <c r="O39" s="66">
        <f>oknTotalNet_20+oknVat_20</f>
        <v>0</v>
      </c>
      <c r="P39" s="16"/>
      <c r="Q39" s="92"/>
      <c r="R39" s="94">
        <v>20</v>
      </c>
      <c r="S39" s="92"/>
      <c r="T39" s="92"/>
      <c r="U39" s="92"/>
      <c r="V39" s="92"/>
      <c r="W39" s="92"/>
      <c r="X39" s="92"/>
      <c r="Y39" s="92"/>
      <c r="Z39" s="129"/>
      <c r="AA39" s="129"/>
      <c r="AB39" s="129"/>
      <c r="AC39"/>
      <c r="AD39"/>
      <c r="AE39"/>
      <c r="AF39"/>
      <c r="AG39"/>
      <c r="AH39"/>
      <c r="AI39"/>
    </row>
    <row r="40" spans="3:35" s="2" customFormat="1" ht="15.95" hidden="1" customHeight="1">
      <c r="C40" s="23">
        <v>0</v>
      </c>
      <c r="D40" s="23">
        <v>0</v>
      </c>
      <c r="E40" s="47"/>
      <c r="F40" s="184"/>
      <c r="G40" s="185"/>
      <c r="H40" s="185"/>
      <c r="I40" s="186"/>
      <c r="J40" s="76">
        <v>0</v>
      </c>
      <c r="K40" s="187">
        <v>0</v>
      </c>
      <c r="L40" s="188"/>
      <c r="M40" s="81">
        <f>ROUND(oknPrice_21*oknQuantity_21,2)</f>
        <v>0</v>
      </c>
      <c r="N40" s="69">
        <f>ROUND(IF(oknTaxable_21,oknTotalNet_21*oknTax1Rate,0),2)</f>
        <v>0</v>
      </c>
      <c r="O40" s="69">
        <f>oknTotalNet_21+oknVat_21</f>
        <v>0</v>
      </c>
      <c r="P40" s="15"/>
      <c r="Q40" s="92"/>
      <c r="R40" s="94">
        <v>21</v>
      </c>
      <c r="S40" s="92"/>
      <c r="T40" s="92"/>
      <c r="U40" s="92"/>
      <c r="V40" s="92"/>
      <c r="W40" s="92"/>
      <c r="X40" s="92"/>
      <c r="Y40" s="92"/>
      <c r="Z40" s="129"/>
      <c r="AA40" s="129"/>
      <c r="AB40" s="129"/>
      <c r="AC40"/>
      <c r="AD40"/>
      <c r="AE40"/>
      <c r="AF40"/>
      <c r="AG40"/>
      <c r="AH40"/>
      <c r="AI40"/>
    </row>
    <row r="41" spans="3:35" s="2" customFormat="1" ht="15.95" hidden="1" customHeight="1">
      <c r="C41" s="23">
        <v>0</v>
      </c>
      <c r="D41" s="23">
        <v>0</v>
      </c>
      <c r="E41" s="47"/>
      <c r="F41" s="189"/>
      <c r="G41" s="190"/>
      <c r="H41" s="190"/>
      <c r="I41" s="191"/>
      <c r="J41" s="74">
        <v>0</v>
      </c>
      <c r="K41" s="192">
        <v>0</v>
      </c>
      <c r="L41" s="193"/>
      <c r="M41" s="80">
        <f>ROUND(oknPrice_22*oknQuantity_22,2)</f>
        <v>0</v>
      </c>
      <c r="N41" s="66">
        <f>ROUND(IF(oknTaxable_22,oknTotalNet_22*oknTax1Rate,0),2)</f>
        <v>0</v>
      </c>
      <c r="O41" s="66">
        <f>oknTotalNet_22+oknVat_22</f>
        <v>0</v>
      </c>
      <c r="P41" s="16"/>
      <c r="Q41" s="92"/>
      <c r="R41" s="94">
        <v>22</v>
      </c>
      <c r="S41" s="92"/>
      <c r="T41" s="92"/>
      <c r="U41" s="92"/>
      <c r="V41" s="92"/>
      <c r="W41" s="92"/>
      <c r="X41" s="92"/>
      <c r="Y41" s="92"/>
      <c r="Z41" s="129"/>
      <c r="AA41" s="129"/>
      <c r="AB41" s="129"/>
      <c r="AC41"/>
      <c r="AD41"/>
      <c r="AE41"/>
      <c r="AF41"/>
      <c r="AG41"/>
      <c r="AH41"/>
      <c r="AI41"/>
    </row>
    <row r="42" spans="3:35" s="2" customFormat="1" ht="15.95" hidden="1" customHeight="1">
      <c r="C42" s="23">
        <v>0</v>
      </c>
      <c r="D42" s="23">
        <v>0</v>
      </c>
      <c r="E42" s="47"/>
      <c r="F42" s="184"/>
      <c r="G42" s="185"/>
      <c r="H42" s="185"/>
      <c r="I42" s="186"/>
      <c r="J42" s="76">
        <v>0</v>
      </c>
      <c r="K42" s="187">
        <v>0</v>
      </c>
      <c r="L42" s="188"/>
      <c r="M42" s="81">
        <f>ROUND(oknPrice_23*oknQuantity_23,2)</f>
        <v>0</v>
      </c>
      <c r="N42" s="69">
        <f>ROUND(IF(oknTaxable_23,oknTotalNet_23*oknTax1Rate,0),2)</f>
        <v>0</v>
      </c>
      <c r="O42" s="69">
        <f>oknTotalNet_23+oknVat_23</f>
        <v>0</v>
      </c>
      <c r="P42" s="15"/>
      <c r="Q42" s="92"/>
      <c r="R42" s="94">
        <v>23</v>
      </c>
      <c r="S42" s="92"/>
      <c r="T42" s="92"/>
      <c r="U42" s="92"/>
      <c r="V42" s="92"/>
      <c r="W42" s="92"/>
      <c r="X42" s="92"/>
      <c r="Y42" s="92"/>
      <c r="Z42" s="129"/>
      <c r="AA42" s="129"/>
      <c r="AB42" s="129"/>
      <c r="AC42"/>
      <c r="AD42"/>
      <c r="AE42"/>
      <c r="AF42"/>
      <c r="AG42"/>
      <c r="AH42"/>
      <c r="AI42"/>
    </row>
    <row r="43" spans="3:35" s="2" customFormat="1" ht="15.95" hidden="1" customHeight="1">
      <c r="C43" s="23">
        <v>0</v>
      </c>
      <c r="D43" s="23">
        <v>0</v>
      </c>
      <c r="E43" s="47"/>
      <c r="F43" s="189"/>
      <c r="G43" s="190"/>
      <c r="H43" s="190"/>
      <c r="I43" s="191"/>
      <c r="J43" s="74">
        <v>0</v>
      </c>
      <c r="K43" s="192">
        <v>0</v>
      </c>
      <c r="L43" s="193"/>
      <c r="M43" s="80">
        <f>ROUND(oknPrice_24*oknQuantity_24,2)</f>
        <v>0</v>
      </c>
      <c r="N43" s="66">
        <f>ROUND(IF(oknTaxable_24,oknTotalNet_24*oknTax1Rate,0),2)</f>
        <v>0</v>
      </c>
      <c r="O43" s="66">
        <f>oknTotalNet_24+oknVat_24</f>
        <v>0</v>
      </c>
      <c r="P43" s="16"/>
      <c r="Q43" s="92"/>
      <c r="R43" s="94">
        <v>24</v>
      </c>
      <c r="S43" s="92"/>
      <c r="T43" s="92"/>
      <c r="U43" s="92"/>
      <c r="V43" s="92"/>
      <c r="W43" s="92"/>
      <c r="X43" s="92"/>
      <c r="Y43" s="92"/>
      <c r="Z43" s="129"/>
      <c r="AA43" s="129"/>
      <c r="AB43" s="129"/>
      <c r="AC43"/>
      <c r="AD43"/>
      <c r="AE43"/>
      <c r="AF43"/>
      <c r="AG43"/>
      <c r="AH43"/>
      <c r="AI43"/>
    </row>
    <row r="44" spans="3:35" s="2" customFormat="1" ht="15.95" hidden="1" customHeight="1">
      <c r="C44" s="23">
        <v>0</v>
      </c>
      <c r="D44" s="23">
        <v>0</v>
      </c>
      <c r="E44" s="47"/>
      <c r="F44" s="184"/>
      <c r="G44" s="185"/>
      <c r="H44" s="185"/>
      <c r="I44" s="186"/>
      <c r="J44" s="76">
        <v>0</v>
      </c>
      <c r="K44" s="187">
        <v>0</v>
      </c>
      <c r="L44" s="188"/>
      <c r="M44" s="81">
        <f>ROUND(oknPrice_25*oknQuantity_25,2)</f>
        <v>0</v>
      </c>
      <c r="N44" s="69">
        <f>ROUND(IF(oknTaxable_25,oknTotalNet_25*oknTax1Rate,0),2)</f>
        <v>0</v>
      </c>
      <c r="O44" s="69">
        <f>oknTotalNet_25+oknVat_25</f>
        <v>0</v>
      </c>
      <c r="P44" s="15"/>
      <c r="Q44" s="92"/>
      <c r="R44" s="94">
        <v>25</v>
      </c>
      <c r="S44" s="92"/>
      <c r="T44" s="92"/>
      <c r="U44" s="92"/>
      <c r="V44" s="92"/>
      <c r="W44" s="92"/>
      <c r="X44" s="92"/>
      <c r="Y44" s="92"/>
      <c r="Z44" s="129"/>
      <c r="AA44" s="129"/>
      <c r="AB44" s="129"/>
      <c r="AC44"/>
      <c r="AD44"/>
      <c r="AE44"/>
      <c r="AF44"/>
      <c r="AG44"/>
      <c r="AH44"/>
      <c r="AI44"/>
    </row>
    <row r="45" spans="3:35" s="2" customFormat="1" ht="15.95" hidden="1" customHeight="1">
      <c r="C45" s="23">
        <v>0</v>
      </c>
      <c r="D45" s="23">
        <v>0</v>
      </c>
      <c r="E45" s="47"/>
      <c r="F45" s="189"/>
      <c r="G45" s="190"/>
      <c r="H45" s="190"/>
      <c r="I45" s="191"/>
      <c r="J45" s="74">
        <v>0</v>
      </c>
      <c r="K45" s="192">
        <v>0</v>
      </c>
      <c r="L45" s="193"/>
      <c r="M45" s="80">
        <f>ROUND(oknPrice_26*oknQuantity_26,2)</f>
        <v>0</v>
      </c>
      <c r="N45" s="66">
        <f>ROUND(IF(oknTaxable_26,oknTotalNet_26*oknTax1Rate,0),2)</f>
        <v>0</v>
      </c>
      <c r="O45" s="66">
        <f>oknTotalNet_26+oknVat_26</f>
        <v>0</v>
      </c>
      <c r="P45" s="16"/>
      <c r="Q45" s="92"/>
      <c r="R45" s="94">
        <v>26</v>
      </c>
      <c r="S45" s="92"/>
      <c r="T45" s="92"/>
      <c r="U45" s="92"/>
      <c r="V45" s="92"/>
      <c r="W45" s="92"/>
      <c r="X45" s="92"/>
      <c r="Y45" s="92"/>
      <c r="Z45" s="129"/>
      <c r="AA45" s="129"/>
      <c r="AB45" s="129"/>
      <c r="AC45"/>
      <c r="AD45"/>
      <c r="AE45"/>
      <c r="AF45"/>
      <c r="AG45"/>
      <c r="AH45"/>
      <c r="AI45"/>
    </row>
    <row r="46" spans="3:35" s="2" customFormat="1" ht="15.95" hidden="1" customHeight="1">
      <c r="C46" s="23">
        <v>0</v>
      </c>
      <c r="D46" s="23">
        <v>0</v>
      </c>
      <c r="E46" s="47"/>
      <c r="F46" s="184"/>
      <c r="G46" s="185"/>
      <c r="H46" s="185"/>
      <c r="I46" s="186"/>
      <c r="J46" s="76">
        <v>0</v>
      </c>
      <c r="K46" s="187">
        <v>0</v>
      </c>
      <c r="L46" s="188"/>
      <c r="M46" s="81">
        <f>ROUND(oknPrice_27*oknQuantity_27,2)</f>
        <v>0</v>
      </c>
      <c r="N46" s="69">
        <f>ROUND(IF(oknTaxable_27,oknTotalNet_27*oknTax1Rate,0),2)</f>
        <v>0</v>
      </c>
      <c r="O46" s="69">
        <f>oknTotalNet_27+oknVat_27</f>
        <v>0</v>
      </c>
      <c r="P46" s="15"/>
      <c r="Q46" s="92"/>
      <c r="R46" s="94">
        <v>27</v>
      </c>
      <c r="S46" s="92"/>
      <c r="T46" s="92"/>
      <c r="U46" s="92"/>
      <c r="V46" s="92"/>
      <c r="W46" s="92"/>
      <c r="X46" s="92"/>
      <c r="Y46" s="92"/>
      <c r="Z46" s="129"/>
      <c r="AA46" s="129"/>
      <c r="AB46" s="129"/>
      <c r="AC46"/>
      <c r="AD46"/>
      <c r="AE46"/>
      <c r="AF46"/>
      <c r="AG46"/>
      <c r="AH46"/>
      <c r="AI46"/>
    </row>
    <row r="47" spans="3:35" s="2" customFormat="1" ht="15.95" hidden="1" customHeight="1">
      <c r="C47" s="23">
        <v>0</v>
      </c>
      <c r="D47" s="23">
        <v>0</v>
      </c>
      <c r="E47" s="47"/>
      <c r="F47" s="189"/>
      <c r="G47" s="190"/>
      <c r="H47" s="190"/>
      <c r="I47" s="191"/>
      <c r="J47" s="74">
        <v>0</v>
      </c>
      <c r="K47" s="192">
        <v>0</v>
      </c>
      <c r="L47" s="193"/>
      <c r="M47" s="80">
        <f>ROUND(oknPrice_28*oknQuantity_28,2)</f>
        <v>0</v>
      </c>
      <c r="N47" s="66">
        <f>ROUND(IF(oknTaxable_28,oknTotalNet_28*oknTax1Rate,0),2)</f>
        <v>0</v>
      </c>
      <c r="O47" s="66">
        <f>oknTotalNet_28+oknVat_28</f>
        <v>0</v>
      </c>
      <c r="P47" s="16"/>
      <c r="Q47" s="92"/>
      <c r="R47" s="94">
        <v>28</v>
      </c>
      <c r="S47" s="92"/>
      <c r="T47" s="92"/>
      <c r="U47" s="92"/>
      <c r="V47" s="92"/>
      <c r="W47" s="92"/>
      <c r="X47" s="92"/>
      <c r="Y47" s="92"/>
      <c r="Z47" s="129"/>
      <c r="AA47" s="129"/>
      <c r="AB47" s="129"/>
      <c r="AC47"/>
      <c r="AD47"/>
      <c r="AE47"/>
      <c r="AF47"/>
      <c r="AG47"/>
      <c r="AH47"/>
      <c r="AI47"/>
    </row>
    <row r="48" spans="3:35" s="2" customFormat="1" ht="15.95" hidden="1" customHeight="1">
      <c r="C48" s="23">
        <v>0</v>
      </c>
      <c r="D48" s="23">
        <v>0</v>
      </c>
      <c r="E48" s="47"/>
      <c r="F48" s="194"/>
      <c r="G48" s="195"/>
      <c r="H48" s="195"/>
      <c r="I48" s="196"/>
      <c r="J48" s="77">
        <v>0</v>
      </c>
      <c r="K48" s="197">
        <v>0</v>
      </c>
      <c r="L48" s="198"/>
      <c r="M48" s="82">
        <f>ROUND(oknPrice_29*oknQuantity_29,2)</f>
        <v>0</v>
      </c>
      <c r="N48" s="70">
        <f>ROUND(IF(oknTaxable_29,oknTotalNet_29*oknTax1Rate,0),2)</f>
        <v>0</v>
      </c>
      <c r="O48" s="70">
        <f>oknTotalNet_29+oknVat_29</f>
        <v>0</v>
      </c>
      <c r="P48" s="15"/>
      <c r="Q48" s="92"/>
      <c r="R48" s="94">
        <v>29</v>
      </c>
      <c r="S48" s="92"/>
      <c r="T48" s="92"/>
      <c r="U48" s="92"/>
      <c r="V48" s="92"/>
      <c r="W48" s="92"/>
      <c r="X48" s="92"/>
      <c r="Y48" s="92"/>
      <c r="Z48" s="129"/>
      <c r="AA48" s="129"/>
      <c r="AB48" s="129"/>
      <c r="AC48"/>
      <c r="AD48"/>
      <c r="AE48"/>
      <c r="AF48"/>
      <c r="AG48"/>
      <c r="AH48"/>
      <c r="AI48"/>
    </row>
    <row r="49" spans="3:35" s="2" customFormat="1" ht="15.95" hidden="1" customHeight="1">
      <c r="C49" s="23">
        <v>0</v>
      </c>
      <c r="D49" s="23">
        <v>0</v>
      </c>
      <c r="E49" s="47"/>
      <c r="F49" s="189"/>
      <c r="G49" s="190"/>
      <c r="H49" s="190"/>
      <c r="I49" s="191"/>
      <c r="J49" s="74">
        <v>0</v>
      </c>
      <c r="K49" s="192">
        <v>0</v>
      </c>
      <c r="L49" s="193"/>
      <c r="M49" s="80">
        <f>ROUND(oknPrice_30*oknQuantity_30,2)</f>
        <v>0</v>
      </c>
      <c r="N49" s="66">
        <f>ROUND(IF(oknTaxable_30,oknTotalNet_30*oknTax1Rate,0),2)</f>
        <v>0</v>
      </c>
      <c r="O49" s="66">
        <f>oknTotalNet_30+oknVat_30</f>
        <v>0</v>
      </c>
      <c r="P49" s="16"/>
      <c r="Q49" s="92"/>
      <c r="R49" s="94">
        <v>30</v>
      </c>
      <c r="S49" s="92"/>
      <c r="T49" s="92"/>
      <c r="U49" s="92"/>
      <c r="V49" s="92"/>
      <c r="W49" s="92"/>
      <c r="X49" s="92"/>
      <c r="Y49" s="92"/>
      <c r="Z49" s="129"/>
      <c r="AA49" s="129"/>
      <c r="AB49" s="129"/>
      <c r="AC49"/>
      <c r="AD49"/>
      <c r="AE49"/>
      <c r="AF49"/>
      <c r="AG49"/>
      <c r="AH49"/>
      <c r="AI49"/>
    </row>
    <row r="50" spans="3:35" s="2" customFormat="1" ht="15.95" hidden="1" customHeight="1">
      <c r="C50" s="23">
        <v>0</v>
      </c>
      <c r="D50" s="23">
        <v>0</v>
      </c>
      <c r="E50" s="47"/>
      <c r="F50" s="184"/>
      <c r="G50" s="185"/>
      <c r="H50" s="185"/>
      <c r="I50" s="186"/>
      <c r="J50" s="76">
        <v>0</v>
      </c>
      <c r="K50" s="187">
        <v>0</v>
      </c>
      <c r="L50" s="188"/>
      <c r="M50" s="81">
        <f>ROUND(oknPrice_31*oknQuantity_31,2)</f>
        <v>0</v>
      </c>
      <c r="N50" s="69">
        <f>ROUND(IF(oknTaxable_31,oknTotalNet_31*oknTax1Rate,0),2)</f>
        <v>0</v>
      </c>
      <c r="O50" s="69">
        <f>oknTotalNet_31+oknVat_31</f>
        <v>0</v>
      </c>
      <c r="P50" s="15"/>
      <c r="Q50" s="92"/>
      <c r="R50" s="94">
        <v>31</v>
      </c>
      <c r="S50" s="92"/>
      <c r="T50" s="92"/>
      <c r="U50" s="92"/>
      <c r="V50" s="92"/>
      <c r="W50" s="92"/>
      <c r="X50" s="92"/>
      <c r="Y50" s="92"/>
      <c r="Z50" s="129"/>
      <c r="AA50" s="129"/>
      <c r="AB50" s="129"/>
      <c r="AC50"/>
      <c r="AD50"/>
      <c r="AE50"/>
      <c r="AF50"/>
      <c r="AG50"/>
      <c r="AH50"/>
      <c r="AI50"/>
    </row>
    <row r="51" spans="3:35" s="2" customFormat="1" ht="15.95" hidden="1" customHeight="1">
      <c r="C51" s="23">
        <v>0</v>
      </c>
      <c r="D51" s="23">
        <v>0</v>
      </c>
      <c r="E51" s="47"/>
      <c r="F51" s="189"/>
      <c r="G51" s="190"/>
      <c r="H51" s="190"/>
      <c r="I51" s="191"/>
      <c r="J51" s="74">
        <v>0</v>
      </c>
      <c r="K51" s="192">
        <v>0</v>
      </c>
      <c r="L51" s="193"/>
      <c r="M51" s="80">
        <f>ROUND(oknPrice_32*oknQuantity_32,2)</f>
        <v>0</v>
      </c>
      <c r="N51" s="66">
        <f>ROUND(IF(oknTaxable_32,oknTotalNet_32*oknTax1Rate,0),2)</f>
        <v>0</v>
      </c>
      <c r="O51" s="66">
        <f>oknTotalNet_32+oknVat_32</f>
        <v>0</v>
      </c>
      <c r="P51" s="16"/>
      <c r="Q51" s="92"/>
      <c r="R51" s="94">
        <v>32</v>
      </c>
      <c r="S51" s="92"/>
      <c r="T51" s="92"/>
      <c r="U51" s="92"/>
      <c r="V51" s="92"/>
      <c r="W51" s="92"/>
      <c r="X51" s="92"/>
      <c r="Y51" s="92"/>
      <c r="Z51" s="129"/>
      <c r="AA51" s="129"/>
      <c r="AB51" s="129"/>
      <c r="AC51"/>
      <c r="AD51"/>
      <c r="AE51"/>
      <c r="AF51"/>
      <c r="AG51"/>
      <c r="AH51"/>
      <c r="AI51"/>
    </row>
    <row r="52" spans="3:35" s="2" customFormat="1" ht="15.95" hidden="1" customHeight="1">
      <c r="C52" s="23">
        <v>0</v>
      </c>
      <c r="D52" s="23">
        <v>0</v>
      </c>
      <c r="E52" s="47"/>
      <c r="F52" s="184"/>
      <c r="G52" s="185"/>
      <c r="H52" s="185"/>
      <c r="I52" s="186"/>
      <c r="J52" s="76">
        <v>0</v>
      </c>
      <c r="K52" s="187">
        <v>0</v>
      </c>
      <c r="L52" s="188"/>
      <c r="M52" s="81">
        <f>ROUND(oknPrice_33*oknQuantity_33,2)</f>
        <v>0</v>
      </c>
      <c r="N52" s="69">
        <f>ROUND(IF(oknTaxable_33,oknTotalNet_33*oknTax1Rate,0),2)</f>
        <v>0</v>
      </c>
      <c r="O52" s="69">
        <f>oknTotalNet_33+oknVat_33</f>
        <v>0</v>
      </c>
      <c r="P52" s="15"/>
      <c r="Q52" s="92"/>
      <c r="R52" s="94">
        <v>33</v>
      </c>
      <c r="S52" s="92"/>
      <c r="T52" s="92"/>
      <c r="U52" s="92"/>
      <c r="V52" s="92"/>
      <c r="W52" s="92"/>
      <c r="X52" s="92"/>
      <c r="Y52" s="92"/>
      <c r="Z52" s="129"/>
      <c r="AA52" s="129"/>
      <c r="AB52" s="129"/>
      <c r="AC52"/>
      <c r="AD52"/>
      <c r="AE52"/>
      <c r="AF52"/>
      <c r="AG52"/>
      <c r="AH52"/>
      <c r="AI52"/>
    </row>
    <row r="53" spans="3:35" s="2" customFormat="1" ht="15.95" hidden="1" customHeight="1">
      <c r="C53" s="23">
        <v>0</v>
      </c>
      <c r="D53" s="23">
        <v>0</v>
      </c>
      <c r="E53" s="47"/>
      <c r="F53" s="189"/>
      <c r="G53" s="190"/>
      <c r="H53" s="190"/>
      <c r="I53" s="191"/>
      <c r="J53" s="74">
        <v>0</v>
      </c>
      <c r="K53" s="192">
        <v>0</v>
      </c>
      <c r="L53" s="193"/>
      <c r="M53" s="80">
        <f>ROUND(oknPrice_34*oknQuantity_34,2)</f>
        <v>0</v>
      </c>
      <c r="N53" s="66">
        <f>ROUND(IF(oknTaxable_34,oknTotalNet_34*oknTax1Rate,0),2)</f>
        <v>0</v>
      </c>
      <c r="O53" s="66">
        <f>oknTotalNet_34+oknVat_34</f>
        <v>0</v>
      </c>
      <c r="P53" s="16"/>
      <c r="Q53" s="92"/>
      <c r="R53" s="94">
        <v>34</v>
      </c>
      <c r="S53" s="92"/>
      <c r="T53" s="92"/>
      <c r="U53" s="92"/>
      <c r="V53" s="92"/>
      <c r="W53" s="92"/>
      <c r="X53" s="92"/>
      <c r="Y53" s="92"/>
      <c r="Z53" s="129"/>
      <c r="AA53" s="129"/>
      <c r="AB53" s="129"/>
      <c r="AC53"/>
      <c r="AD53"/>
      <c r="AE53"/>
      <c r="AF53"/>
      <c r="AG53"/>
      <c r="AH53"/>
      <c r="AI53"/>
    </row>
    <row r="54" spans="3:35" s="2" customFormat="1" ht="15.95" hidden="1" customHeight="1">
      <c r="C54" s="23">
        <v>0</v>
      </c>
      <c r="D54" s="23">
        <v>0</v>
      </c>
      <c r="E54" s="47"/>
      <c r="F54" s="184"/>
      <c r="G54" s="185"/>
      <c r="H54" s="185"/>
      <c r="I54" s="186"/>
      <c r="J54" s="76">
        <v>0</v>
      </c>
      <c r="K54" s="187">
        <v>0</v>
      </c>
      <c r="L54" s="188"/>
      <c r="M54" s="81">
        <f>ROUND(oknPrice_35*oknQuantity_35,2)</f>
        <v>0</v>
      </c>
      <c r="N54" s="69">
        <f>ROUND(IF(oknTaxable_35,oknTotalNet_35*oknTax1Rate,0),2)</f>
        <v>0</v>
      </c>
      <c r="O54" s="69">
        <f>oknTotalNet_35+oknVat_35</f>
        <v>0</v>
      </c>
      <c r="P54" s="15"/>
      <c r="Q54" s="92"/>
      <c r="R54" s="94">
        <v>35</v>
      </c>
      <c r="S54" s="92"/>
      <c r="T54" s="92"/>
      <c r="U54" s="92"/>
      <c r="V54" s="92"/>
      <c r="W54" s="92"/>
      <c r="X54" s="92"/>
      <c r="Y54" s="92"/>
      <c r="Z54" s="129"/>
      <c r="AA54" s="129"/>
      <c r="AB54" s="129"/>
      <c r="AC54"/>
      <c r="AD54"/>
      <c r="AE54"/>
      <c r="AF54"/>
      <c r="AG54"/>
      <c r="AH54"/>
      <c r="AI54"/>
    </row>
    <row r="55" spans="3:35" s="2" customFormat="1" ht="15.95" hidden="1" customHeight="1">
      <c r="C55" s="23">
        <v>0</v>
      </c>
      <c r="D55" s="23">
        <v>0</v>
      </c>
      <c r="E55" s="47"/>
      <c r="F55" s="189"/>
      <c r="G55" s="190"/>
      <c r="H55" s="190"/>
      <c r="I55" s="191"/>
      <c r="J55" s="74">
        <v>0</v>
      </c>
      <c r="K55" s="192">
        <v>0</v>
      </c>
      <c r="L55" s="193"/>
      <c r="M55" s="80">
        <f>ROUND(oknPrice_36*oknQuantity_36,2)</f>
        <v>0</v>
      </c>
      <c r="N55" s="66">
        <f>ROUND(IF(oknTaxable_36,oknTotalNet_36*oknTax1Rate,0),2)</f>
        <v>0</v>
      </c>
      <c r="O55" s="66">
        <f>oknTotalNet_36+oknVat_36</f>
        <v>0</v>
      </c>
      <c r="P55" s="16"/>
      <c r="Q55" s="92"/>
      <c r="R55" s="94">
        <v>36</v>
      </c>
      <c r="S55" s="92"/>
      <c r="T55" s="92"/>
      <c r="U55" s="92"/>
      <c r="V55" s="92"/>
      <c r="W55" s="92"/>
      <c r="X55" s="92"/>
      <c r="Y55" s="92"/>
      <c r="Z55" s="129"/>
      <c r="AA55" s="129"/>
      <c r="AB55" s="129"/>
      <c r="AC55"/>
      <c r="AD55"/>
      <c r="AE55"/>
      <c r="AF55"/>
      <c r="AG55"/>
      <c r="AH55"/>
      <c r="AI55"/>
    </row>
    <row r="56" spans="3:35" s="2" customFormat="1" ht="15.95" hidden="1" customHeight="1">
      <c r="C56" s="23">
        <v>0</v>
      </c>
      <c r="D56" s="23">
        <v>0</v>
      </c>
      <c r="E56" s="47"/>
      <c r="F56" s="184"/>
      <c r="G56" s="185"/>
      <c r="H56" s="185"/>
      <c r="I56" s="186"/>
      <c r="J56" s="76">
        <v>0</v>
      </c>
      <c r="K56" s="187">
        <v>0</v>
      </c>
      <c r="L56" s="188"/>
      <c r="M56" s="81">
        <f>ROUND(oknPrice_37*oknQuantity_37,2)</f>
        <v>0</v>
      </c>
      <c r="N56" s="69">
        <f>ROUND(IF(oknTaxable_37,oknTotalNet_37*oknTax1Rate,0),2)</f>
        <v>0</v>
      </c>
      <c r="O56" s="69">
        <f>oknTotalNet_37+oknVat_37</f>
        <v>0</v>
      </c>
      <c r="P56" s="15"/>
      <c r="Q56" s="92"/>
      <c r="R56" s="94">
        <v>37</v>
      </c>
      <c r="S56" s="92"/>
      <c r="T56" s="92"/>
      <c r="U56" s="92"/>
      <c r="V56" s="92"/>
      <c r="W56" s="92"/>
      <c r="X56" s="92"/>
      <c r="Y56" s="92"/>
      <c r="Z56" s="129"/>
      <c r="AA56" s="129"/>
      <c r="AB56" s="129"/>
      <c r="AC56"/>
      <c r="AD56"/>
      <c r="AE56"/>
      <c r="AF56"/>
      <c r="AG56"/>
      <c r="AH56"/>
      <c r="AI56"/>
    </row>
    <row r="57" spans="3:35" s="2" customFormat="1" ht="15.95" hidden="1" customHeight="1">
      <c r="C57" s="23">
        <v>0</v>
      </c>
      <c r="D57" s="23">
        <v>0</v>
      </c>
      <c r="E57" s="47"/>
      <c r="F57" s="189"/>
      <c r="G57" s="190"/>
      <c r="H57" s="190"/>
      <c r="I57" s="191"/>
      <c r="J57" s="74">
        <v>0</v>
      </c>
      <c r="K57" s="192">
        <v>0</v>
      </c>
      <c r="L57" s="193"/>
      <c r="M57" s="80">
        <f>ROUND(oknPrice_38*oknQuantity_38,2)</f>
        <v>0</v>
      </c>
      <c r="N57" s="66">
        <f>ROUND(IF(oknTaxable_38,oknTotalNet_38*oknTax1Rate,0),2)</f>
        <v>0</v>
      </c>
      <c r="O57" s="66">
        <f>oknTotalNet_38+oknVat_38</f>
        <v>0</v>
      </c>
      <c r="P57" s="16"/>
      <c r="Q57" s="92"/>
      <c r="R57" s="94">
        <v>38</v>
      </c>
      <c r="S57" s="92"/>
      <c r="T57" s="92"/>
      <c r="U57" s="92"/>
      <c r="V57" s="92"/>
      <c r="W57" s="92"/>
      <c r="X57" s="92"/>
      <c r="Y57" s="92"/>
      <c r="Z57" s="129"/>
      <c r="AA57" s="129"/>
      <c r="AB57" s="129"/>
      <c r="AC57"/>
      <c r="AD57"/>
      <c r="AE57"/>
      <c r="AF57"/>
      <c r="AG57"/>
      <c r="AH57"/>
      <c r="AI57"/>
    </row>
    <row r="58" spans="3:35" s="2" customFormat="1" ht="15.95" hidden="1" customHeight="1">
      <c r="C58" s="23">
        <v>0</v>
      </c>
      <c r="D58" s="23">
        <v>0</v>
      </c>
      <c r="E58" s="47"/>
      <c r="F58" s="184"/>
      <c r="G58" s="185"/>
      <c r="H58" s="185"/>
      <c r="I58" s="186"/>
      <c r="J58" s="76">
        <v>0</v>
      </c>
      <c r="K58" s="187">
        <v>0</v>
      </c>
      <c r="L58" s="188"/>
      <c r="M58" s="81">
        <f>ROUND(oknPrice_39*oknQuantity_39,2)</f>
        <v>0</v>
      </c>
      <c r="N58" s="69">
        <f>ROUND(IF(oknTaxable_39,oknTotalNet_39*oknTax1Rate,0),2)</f>
        <v>0</v>
      </c>
      <c r="O58" s="69">
        <f>oknTotalNet_39+oknVat_39</f>
        <v>0</v>
      </c>
      <c r="P58" s="15"/>
      <c r="Q58" s="92"/>
      <c r="R58" s="94">
        <v>39</v>
      </c>
      <c r="S58" s="92"/>
      <c r="T58" s="92"/>
      <c r="U58" s="92"/>
      <c r="V58" s="92"/>
      <c r="W58" s="92"/>
      <c r="X58" s="92"/>
      <c r="Y58" s="92"/>
      <c r="Z58" s="129"/>
      <c r="AA58" s="129"/>
      <c r="AB58" s="129"/>
      <c r="AC58"/>
      <c r="AD58"/>
      <c r="AE58"/>
      <c r="AF58"/>
      <c r="AG58"/>
      <c r="AH58"/>
      <c r="AI58"/>
    </row>
    <row r="59" spans="3:35" s="2" customFormat="1" ht="15.95" hidden="1" customHeight="1">
      <c r="C59" s="23">
        <v>0</v>
      </c>
      <c r="D59" s="23">
        <v>0</v>
      </c>
      <c r="E59" s="47"/>
      <c r="F59" s="189"/>
      <c r="G59" s="190"/>
      <c r="H59" s="190"/>
      <c r="I59" s="191"/>
      <c r="J59" s="74">
        <v>0</v>
      </c>
      <c r="K59" s="192">
        <v>0</v>
      </c>
      <c r="L59" s="193"/>
      <c r="M59" s="80">
        <f>ROUND(oknPrice_40*oknQuantity_40,2)</f>
        <v>0</v>
      </c>
      <c r="N59" s="66">
        <f>ROUND(IF(oknTaxable_40,oknTotalNet_40*oknTax1Rate,0),2)</f>
        <v>0</v>
      </c>
      <c r="O59" s="66">
        <f>oknTotalNet_40+oknVat_40</f>
        <v>0</v>
      </c>
      <c r="P59" s="16"/>
      <c r="Q59" s="92"/>
      <c r="R59" s="94">
        <v>40</v>
      </c>
      <c r="S59" s="92"/>
      <c r="T59" s="92"/>
      <c r="U59" s="92"/>
      <c r="V59" s="92"/>
      <c r="W59" s="92"/>
      <c r="X59" s="92"/>
      <c r="Y59" s="92"/>
      <c r="Z59" s="129"/>
      <c r="AA59" s="129"/>
      <c r="AB59" s="129"/>
      <c r="AC59"/>
      <c r="AD59"/>
      <c r="AE59"/>
      <c r="AF59"/>
      <c r="AG59"/>
      <c r="AH59"/>
      <c r="AI59"/>
    </row>
    <row r="60" spans="3:35" s="2" customFormat="1" ht="15.95" hidden="1" customHeight="1">
      <c r="C60" s="23">
        <v>0</v>
      </c>
      <c r="D60" s="23">
        <v>0</v>
      </c>
      <c r="E60" s="47"/>
      <c r="F60" s="184"/>
      <c r="G60" s="185"/>
      <c r="H60" s="185"/>
      <c r="I60" s="186"/>
      <c r="J60" s="76">
        <v>0</v>
      </c>
      <c r="K60" s="187">
        <v>0</v>
      </c>
      <c r="L60" s="188"/>
      <c r="M60" s="81">
        <f>ROUND(oknPrice_41*oknQuantity_41,2)</f>
        <v>0</v>
      </c>
      <c r="N60" s="69">
        <f>ROUND(IF(oknTaxable_41,oknTotalNet_41*oknTax1Rate,0),2)</f>
        <v>0</v>
      </c>
      <c r="O60" s="69">
        <f>oknTotalNet_41+oknVat_41</f>
        <v>0</v>
      </c>
      <c r="P60" s="15"/>
      <c r="Q60" s="92"/>
      <c r="R60" s="94">
        <v>41</v>
      </c>
      <c r="S60" s="92"/>
      <c r="T60" s="92"/>
      <c r="U60" s="92"/>
      <c r="V60" s="92"/>
      <c r="W60" s="92"/>
      <c r="X60" s="92"/>
      <c r="Y60" s="92"/>
      <c r="Z60" s="129"/>
      <c r="AA60" s="129"/>
      <c r="AB60" s="129"/>
      <c r="AC60"/>
      <c r="AD60"/>
      <c r="AE60"/>
      <c r="AF60"/>
      <c r="AG60"/>
      <c r="AH60"/>
      <c r="AI60"/>
    </row>
    <row r="61" spans="3:35" s="2" customFormat="1" ht="15.95" hidden="1" customHeight="1">
      <c r="C61" s="23">
        <v>0</v>
      </c>
      <c r="D61" s="23">
        <v>0</v>
      </c>
      <c r="E61" s="47"/>
      <c r="F61" s="189"/>
      <c r="G61" s="190"/>
      <c r="H61" s="190"/>
      <c r="I61" s="191"/>
      <c r="J61" s="74">
        <v>0</v>
      </c>
      <c r="K61" s="192">
        <v>0</v>
      </c>
      <c r="L61" s="193"/>
      <c r="M61" s="80">
        <f>ROUND(oknPrice_42*oknQuantity_42,2)</f>
        <v>0</v>
      </c>
      <c r="N61" s="66">
        <f>ROUND(IF(oknTaxable_42,oknTotalNet_42*oknTax1Rate,0),2)</f>
        <v>0</v>
      </c>
      <c r="O61" s="66">
        <f>oknTotalNet_42+oknVat_42</f>
        <v>0</v>
      </c>
      <c r="P61" s="16"/>
      <c r="Q61" s="92"/>
      <c r="R61" s="94">
        <v>42</v>
      </c>
      <c r="S61" s="92"/>
      <c r="T61" s="92"/>
      <c r="U61" s="92"/>
      <c r="V61" s="92"/>
      <c r="W61" s="92"/>
      <c r="X61" s="92"/>
      <c r="Y61" s="92"/>
      <c r="Z61" s="129"/>
      <c r="AA61" s="129"/>
      <c r="AB61" s="129"/>
      <c r="AC61"/>
      <c r="AD61"/>
      <c r="AE61"/>
      <c r="AF61"/>
      <c r="AG61"/>
      <c r="AH61"/>
      <c r="AI61"/>
    </row>
    <row r="62" spans="3:35" s="2" customFormat="1" ht="15.95" hidden="1" customHeight="1">
      <c r="C62" s="23">
        <v>0</v>
      </c>
      <c r="D62" s="23">
        <v>0</v>
      </c>
      <c r="E62" s="47"/>
      <c r="F62" s="184"/>
      <c r="G62" s="185"/>
      <c r="H62" s="185"/>
      <c r="I62" s="186"/>
      <c r="J62" s="76"/>
      <c r="K62" s="187">
        <v>0</v>
      </c>
      <c r="L62" s="188"/>
      <c r="M62" s="81">
        <f>ROUND(oknPrice_43*oknQuantity_43,2)</f>
        <v>0</v>
      </c>
      <c r="N62" s="69">
        <f>ROUND(IF(oknTaxable_43,oknTotalNet_43*oknTax1Rate,0),2)</f>
        <v>0</v>
      </c>
      <c r="O62" s="69">
        <f>oknTotalNet_43+oknVat_43</f>
        <v>0</v>
      </c>
      <c r="P62" s="15"/>
      <c r="Q62" s="92"/>
      <c r="R62" s="94">
        <v>43</v>
      </c>
      <c r="S62" s="92"/>
      <c r="T62" s="92"/>
      <c r="U62" s="92"/>
      <c r="V62" s="92"/>
      <c r="W62" s="92"/>
      <c r="X62" s="92"/>
      <c r="Y62" s="92"/>
      <c r="Z62" s="129"/>
      <c r="AA62" s="129"/>
      <c r="AB62" s="129"/>
      <c r="AC62"/>
      <c r="AD62"/>
      <c r="AE62"/>
      <c r="AF62"/>
      <c r="AG62"/>
      <c r="AH62"/>
      <c r="AI62"/>
    </row>
    <row r="63" spans="3:35" s="2" customFormat="1" ht="15.95" hidden="1" customHeight="1">
      <c r="C63" s="23">
        <v>0</v>
      </c>
      <c r="D63" s="23">
        <v>0</v>
      </c>
      <c r="E63" s="47"/>
      <c r="F63" s="189"/>
      <c r="G63" s="190"/>
      <c r="H63" s="190"/>
      <c r="I63" s="191"/>
      <c r="J63" s="74">
        <v>0</v>
      </c>
      <c r="K63" s="192">
        <v>0</v>
      </c>
      <c r="L63" s="193"/>
      <c r="M63" s="80">
        <f>ROUND(oknPrice_44*oknQuantity_44,2)</f>
        <v>0</v>
      </c>
      <c r="N63" s="66">
        <f>ROUND(IF(oknTaxable_44,oknTotalNet_44*oknTax1Rate,0),2)</f>
        <v>0</v>
      </c>
      <c r="O63" s="66">
        <f>oknTotalNet_44+oknVat_44</f>
        <v>0</v>
      </c>
      <c r="P63" s="16"/>
      <c r="Q63" s="92"/>
      <c r="R63" s="94">
        <v>44</v>
      </c>
      <c r="S63" s="92"/>
      <c r="T63" s="92"/>
      <c r="U63" s="92"/>
      <c r="V63" s="92"/>
      <c r="W63" s="92"/>
      <c r="X63" s="92"/>
      <c r="Y63" s="92"/>
      <c r="Z63" s="129"/>
      <c r="AA63" s="129"/>
      <c r="AB63" s="129"/>
      <c r="AC63"/>
      <c r="AD63"/>
      <c r="AE63"/>
      <c r="AF63"/>
      <c r="AG63"/>
      <c r="AH63"/>
      <c r="AI63"/>
    </row>
    <row r="64" spans="3:35" s="2" customFormat="1" ht="15.95" hidden="1" customHeight="1">
      <c r="C64" s="23">
        <v>0</v>
      </c>
      <c r="D64" s="23">
        <v>0</v>
      </c>
      <c r="E64" s="47"/>
      <c r="F64" s="184"/>
      <c r="G64" s="185"/>
      <c r="H64" s="185"/>
      <c r="I64" s="186"/>
      <c r="J64" s="76">
        <v>0</v>
      </c>
      <c r="K64" s="187">
        <v>0</v>
      </c>
      <c r="L64" s="188"/>
      <c r="M64" s="81">
        <f>ROUND(oknPrice_45*oknQuantity_45,2)</f>
        <v>0</v>
      </c>
      <c r="N64" s="69">
        <f>ROUND(IF(oknTaxable_45,oknTotalNet_45*oknTax1Rate,0),2)</f>
        <v>0</v>
      </c>
      <c r="O64" s="69">
        <f>oknTotalNet_45+oknVat_45</f>
        <v>0</v>
      </c>
      <c r="P64" s="15"/>
      <c r="Q64" s="92"/>
      <c r="R64" s="94">
        <v>45</v>
      </c>
      <c r="S64" s="92"/>
      <c r="T64" s="92"/>
      <c r="U64" s="92"/>
      <c r="V64" s="92"/>
      <c r="W64" s="92"/>
      <c r="X64" s="92"/>
      <c r="Y64" s="92"/>
      <c r="Z64" s="129"/>
      <c r="AA64" s="129"/>
      <c r="AB64" s="129"/>
      <c r="AC64"/>
      <c r="AD64"/>
      <c r="AE64"/>
      <c r="AF64"/>
      <c r="AG64"/>
      <c r="AH64"/>
      <c r="AI64"/>
    </row>
    <row r="65" spans="3:35" s="2" customFormat="1" ht="15.95" hidden="1" customHeight="1">
      <c r="C65" s="23">
        <v>0</v>
      </c>
      <c r="D65" s="23">
        <v>0</v>
      </c>
      <c r="E65" s="47"/>
      <c r="F65" s="189"/>
      <c r="G65" s="190"/>
      <c r="H65" s="190"/>
      <c r="I65" s="191"/>
      <c r="J65" s="74">
        <v>0</v>
      </c>
      <c r="K65" s="192">
        <v>0</v>
      </c>
      <c r="L65" s="193"/>
      <c r="M65" s="80">
        <f>ROUND(oknPrice_46*oknQuantity_46,2)</f>
        <v>0</v>
      </c>
      <c r="N65" s="66">
        <f>ROUND(IF(oknTaxable_46,oknTotalNet_46*oknTax1Rate,0),2)</f>
        <v>0</v>
      </c>
      <c r="O65" s="66">
        <f>oknTotalNet_46+oknVat_46</f>
        <v>0</v>
      </c>
      <c r="P65" s="16"/>
      <c r="Q65" s="92"/>
      <c r="R65" s="94">
        <v>46</v>
      </c>
      <c r="S65" s="92"/>
      <c r="T65" s="92"/>
      <c r="U65" s="92"/>
      <c r="V65" s="92"/>
      <c r="W65" s="92"/>
      <c r="X65" s="92"/>
      <c r="Y65" s="92"/>
      <c r="Z65" s="129"/>
      <c r="AA65" s="129"/>
      <c r="AB65" s="129"/>
      <c r="AC65"/>
      <c r="AD65"/>
      <c r="AE65"/>
      <c r="AF65"/>
      <c r="AG65"/>
      <c r="AH65"/>
      <c r="AI65"/>
    </row>
    <row r="66" spans="3:35" s="2" customFormat="1" ht="15.95" hidden="1" customHeight="1">
      <c r="C66" s="23">
        <v>0</v>
      </c>
      <c r="D66" s="23">
        <v>0</v>
      </c>
      <c r="E66" s="47"/>
      <c r="F66" s="184"/>
      <c r="G66" s="185"/>
      <c r="H66" s="185"/>
      <c r="I66" s="186"/>
      <c r="J66" s="76">
        <v>0</v>
      </c>
      <c r="K66" s="187">
        <v>0</v>
      </c>
      <c r="L66" s="188"/>
      <c r="M66" s="81">
        <f>ROUND(oknPrice_47*oknQuantity_47,2)</f>
        <v>0</v>
      </c>
      <c r="N66" s="69">
        <f>ROUND(IF(oknTaxable_47,oknTotalNet_47*oknTax1Rate,0),2)</f>
        <v>0</v>
      </c>
      <c r="O66" s="69">
        <f>oknTotalNet_47+oknVat_47</f>
        <v>0</v>
      </c>
      <c r="P66" s="15"/>
      <c r="Q66" s="92"/>
      <c r="R66" s="94">
        <v>47</v>
      </c>
      <c r="S66" s="92"/>
      <c r="T66" s="92"/>
      <c r="U66" s="92"/>
      <c r="V66" s="92"/>
      <c r="W66" s="92"/>
      <c r="X66" s="92"/>
      <c r="Y66" s="92"/>
      <c r="Z66" s="129"/>
      <c r="AA66" s="129"/>
      <c r="AB66" s="129"/>
      <c r="AC66"/>
      <c r="AD66"/>
      <c r="AE66"/>
      <c r="AF66"/>
      <c r="AG66"/>
      <c r="AH66"/>
      <c r="AI66"/>
    </row>
    <row r="67" spans="3:35" s="2" customFormat="1" ht="15.95" hidden="1" customHeight="1">
      <c r="C67" s="23">
        <v>0</v>
      </c>
      <c r="D67" s="23">
        <v>0</v>
      </c>
      <c r="E67" s="47"/>
      <c r="F67" s="199"/>
      <c r="G67" s="200"/>
      <c r="H67" s="200"/>
      <c r="I67" s="201"/>
      <c r="J67" s="78">
        <v>0</v>
      </c>
      <c r="K67" s="202">
        <v>0</v>
      </c>
      <c r="L67" s="203"/>
      <c r="M67" s="83">
        <f>ROUND(oknPrice_48*oknQuantity_48,2)</f>
        <v>0</v>
      </c>
      <c r="N67" s="68">
        <f>ROUND(IF(oknTaxable_48,oknTotalNet_48*oknTax1Rate,0),2)</f>
        <v>0</v>
      </c>
      <c r="O67" s="68">
        <f>oknTotalNet_48+oknVat_48</f>
        <v>0</v>
      </c>
      <c r="P67" s="16"/>
      <c r="Q67" s="92"/>
      <c r="R67" s="94">
        <v>48</v>
      </c>
      <c r="S67" s="92"/>
      <c r="T67" s="92"/>
      <c r="U67" s="92"/>
      <c r="V67" s="92"/>
      <c r="W67" s="92"/>
      <c r="X67" s="92"/>
      <c r="Y67" s="92"/>
      <c r="Z67" s="129"/>
      <c r="AA67" s="129"/>
      <c r="AB67" s="129"/>
      <c r="AC67"/>
      <c r="AD67"/>
      <c r="AE67"/>
      <c r="AF67"/>
      <c r="AG67"/>
      <c r="AH67"/>
      <c r="AI67"/>
    </row>
    <row r="68" spans="3:35" s="2" customFormat="1" ht="15.95" hidden="1" customHeight="1">
      <c r="C68" s="23">
        <v>0</v>
      </c>
      <c r="D68" s="23">
        <v>0</v>
      </c>
      <c r="E68" s="47"/>
      <c r="F68" s="184"/>
      <c r="G68" s="185"/>
      <c r="H68" s="185"/>
      <c r="I68" s="186"/>
      <c r="J68" s="76">
        <v>0</v>
      </c>
      <c r="K68" s="187">
        <v>0</v>
      </c>
      <c r="L68" s="188"/>
      <c r="M68" s="81">
        <f>ROUND(oknPrice_49*oknQuantity_49,2)</f>
        <v>0</v>
      </c>
      <c r="N68" s="69">
        <f>ROUND(IF(oknTaxable_49,oknTotalNet_49*oknTax1Rate,0),2)</f>
        <v>0</v>
      </c>
      <c r="O68" s="69">
        <f>oknTotalNet_49+oknVat_49</f>
        <v>0</v>
      </c>
      <c r="P68" s="15"/>
      <c r="Q68" s="92"/>
      <c r="R68" s="94">
        <v>49</v>
      </c>
      <c r="S68" s="92"/>
      <c r="T68" s="92"/>
      <c r="U68" s="92"/>
      <c r="V68" s="92"/>
      <c r="W68" s="92"/>
      <c r="X68" s="92"/>
      <c r="Y68" s="92"/>
      <c r="Z68" s="129"/>
      <c r="AA68" s="129"/>
      <c r="AB68" s="129"/>
      <c r="AC68"/>
      <c r="AD68"/>
      <c r="AE68"/>
      <c r="AF68"/>
      <c r="AG68"/>
      <c r="AH68"/>
      <c r="AI68"/>
    </row>
    <row r="69" spans="3:35" s="2" customFormat="1" ht="15.95" hidden="1" customHeight="1">
      <c r="C69" s="23">
        <v>0</v>
      </c>
      <c r="D69" s="23">
        <v>0</v>
      </c>
      <c r="E69" s="47"/>
      <c r="F69" s="189"/>
      <c r="G69" s="190"/>
      <c r="H69" s="190"/>
      <c r="I69" s="191"/>
      <c r="J69" s="74">
        <v>0</v>
      </c>
      <c r="K69" s="192">
        <v>0</v>
      </c>
      <c r="L69" s="193"/>
      <c r="M69" s="80">
        <f>ROUND(oknPrice_50*oknQuantity_50,2)</f>
        <v>0</v>
      </c>
      <c r="N69" s="66">
        <f>ROUND(IF(oknTaxable_50,oknTotalNet_50*oknTax1Rate,0),2)</f>
        <v>0</v>
      </c>
      <c r="O69" s="66">
        <f>oknTotalNet_50+oknVat_50</f>
        <v>0</v>
      </c>
      <c r="P69" s="16"/>
      <c r="Q69" s="92"/>
      <c r="R69" s="94">
        <v>50</v>
      </c>
      <c r="S69" s="92"/>
      <c r="T69" s="92"/>
      <c r="U69" s="92"/>
      <c r="V69" s="92"/>
      <c r="W69" s="92"/>
      <c r="X69" s="92"/>
      <c r="Y69" s="92"/>
      <c r="Z69" s="129"/>
      <c r="AA69" s="129"/>
      <c r="AB69" s="129"/>
      <c r="AC69"/>
      <c r="AD69"/>
      <c r="AE69"/>
      <c r="AF69"/>
      <c r="AG69"/>
      <c r="AH69"/>
      <c r="AI69"/>
    </row>
    <row r="70" spans="3:35" s="2" customFormat="1" ht="15.95" hidden="1" customHeight="1">
      <c r="C70" s="23">
        <v>0</v>
      </c>
      <c r="D70" s="23">
        <v>0</v>
      </c>
      <c r="E70" s="47"/>
      <c r="F70" s="184"/>
      <c r="G70" s="185"/>
      <c r="H70" s="185"/>
      <c r="I70" s="186"/>
      <c r="J70" s="76">
        <v>0</v>
      </c>
      <c r="K70" s="187">
        <v>0</v>
      </c>
      <c r="L70" s="188"/>
      <c r="M70" s="81">
        <f>ROUND(oknPrice_51*oknQuantity_51,2)</f>
        <v>0</v>
      </c>
      <c r="N70" s="69">
        <f>ROUND(IF(oknTaxable_51,oknTotalNet_51*oknTax1Rate,0),2)</f>
        <v>0</v>
      </c>
      <c r="O70" s="69">
        <f>oknTotalNet_51+oknVat_51</f>
        <v>0</v>
      </c>
      <c r="P70" s="15"/>
      <c r="Q70" s="92"/>
      <c r="R70" s="94">
        <v>51</v>
      </c>
      <c r="S70" s="92"/>
      <c r="T70" s="92"/>
      <c r="U70" s="92"/>
      <c r="V70" s="92"/>
      <c r="W70" s="92"/>
      <c r="X70" s="92"/>
      <c r="Y70" s="92"/>
      <c r="Z70" s="129"/>
      <c r="AA70" s="129"/>
      <c r="AB70" s="129"/>
      <c r="AC70"/>
      <c r="AD70"/>
      <c r="AE70"/>
      <c r="AF70"/>
      <c r="AG70"/>
      <c r="AH70"/>
      <c r="AI70"/>
    </row>
    <row r="71" spans="3:35" s="2" customFormat="1" ht="15.95" hidden="1" customHeight="1">
      <c r="C71" s="23">
        <v>0</v>
      </c>
      <c r="D71" s="23">
        <v>0</v>
      </c>
      <c r="E71" s="47"/>
      <c r="F71" s="189"/>
      <c r="G71" s="190"/>
      <c r="H71" s="190"/>
      <c r="I71" s="191"/>
      <c r="J71" s="74">
        <v>0</v>
      </c>
      <c r="K71" s="192">
        <v>0</v>
      </c>
      <c r="L71" s="193"/>
      <c r="M71" s="80">
        <f>ROUND(oknPrice_52*oknQuantity_52,2)</f>
        <v>0</v>
      </c>
      <c r="N71" s="66">
        <f>ROUND(IF(oknTaxable_52,oknTotalNet_52*oknTax1Rate,0),2)</f>
        <v>0</v>
      </c>
      <c r="O71" s="66">
        <f>oknTotalNet_52+oknVat_52</f>
        <v>0</v>
      </c>
      <c r="P71" s="16"/>
      <c r="Q71" s="92"/>
      <c r="R71" s="94">
        <v>52</v>
      </c>
      <c r="S71" s="92"/>
      <c r="T71" s="92"/>
      <c r="U71" s="92"/>
      <c r="V71" s="92"/>
      <c r="W71" s="92"/>
      <c r="X71" s="92"/>
      <c r="Y71" s="92"/>
      <c r="Z71" s="129"/>
      <c r="AA71" s="129"/>
      <c r="AB71" s="129"/>
      <c r="AC71"/>
      <c r="AD71"/>
      <c r="AE71"/>
      <c r="AF71"/>
      <c r="AG71"/>
      <c r="AH71"/>
      <c r="AI71"/>
    </row>
    <row r="72" spans="3:35" s="2" customFormat="1" ht="15.95" hidden="1" customHeight="1">
      <c r="C72" s="23">
        <v>0</v>
      </c>
      <c r="D72" s="23">
        <v>0</v>
      </c>
      <c r="E72" s="47"/>
      <c r="F72" s="184"/>
      <c r="G72" s="185"/>
      <c r="H72" s="185"/>
      <c r="I72" s="186"/>
      <c r="J72" s="76">
        <v>0</v>
      </c>
      <c r="K72" s="187">
        <v>0</v>
      </c>
      <c r="L72" s="188"/>
      <c r="M72" s="81">
        <f>ROUND(oknPrice_53*oknQuantity_53,2)</f>
        <v>0</v>
      </c>
      <c r="N72" s="69">
        <f>ROUND(IF(oknTaxable_53,oknTotalNet_53*oknTax1Rate,0),2)</f>
        <v>0</v>
      </c>
      <c r="O72" s="69">
        <f>oknTotalNet_53+oknVat_53</f>
        <v>0</v>
      </c>
      <c r="P72" s="15"/>
      <c r="Q72" s="92"/>
      <c r="R72" s="94">
        <v>53</v>
      </c>
      <c r="S72" s="92"/>
      <c r="T72" s="92"/>
      <c r="U72" s="92"/>
      <c r="V72" s="92"/>
      <c r="W72" s="92"/>
      <c r="X72" s="92"/>
      <c r="Y72" s="92"/>
      <c r="Z72" s="129"/>
      <c r="AA72" s="129"/>
      <c r="AB72" s="129"/>
      <c r="AC72"/>
      <c r="AD72"/>
      <c r="AE72"/>
      <c r="AF72"/>
      <c r="AG72"/>
      <c r="AH72"/>
      <c r="AI72"/>
    </row>
    <row r="73" spans="3:35" s="2" customFormat="1" ht="15.95" hidden="1" customHeight="1">
      <c r="C73" s="23">
        <v>0</v>
      </c>
      <c r="D73" s="23">
        <v>0</v>
      </c>
      <c r="E73" s="47"/>
      <c r="F73" s="189"/>
      <c r="G73" s="190"/>
      <c r="H73" s="190"/>
      <c r="I73" s="191"/>
      <c r="J73" s="74">
        <v>0</v>
      </c>
      <c r="K73" s="192">
        <v>0</v>
      </c>
      <c r="L73" s="193"/>
      <c r="M73" s="80">
        <f>ROUND(oknPrice_54*oknQuantity_54,2)</f>
        <v>0</v>
      </c>
      <c r="N73" s="66">
        <f>ROUND(IF(oknTaxable_54,oknTotalNet_54*oknTax1Rate,0),2)</f>
        <v>0</v>
      </c>
      <c r="O73" s="66">
        <f>oknTotalNet_54+oknVat_54</f>
        <v>0</v>
      </c>
      <c r="P73" s="16"/>
      <c r="Q73" s="92"/>
      <c r="R73" s="94">
        <v>54</v>
      </c>
      <c r="S73" s="92"/>
      <c r="T73" s="92"/>
      <c r="U73" s="92"/>
      <c r="V73" s="92"/>
      <c r="W73" s="92"/>
      <c r="X73" s="92"/>
      <c r="Y73" s="92"/>
      <c r="Z73" s="129"/>
      <c r="AA73" s="129"/>
      <c r="AB73" s="129"/>
      <c r="AC73"/>
      <c r="AD73"/>
      <c r="AE73"/>
      <c r="AF73"/>
      <c r="AG73"/>
      <c r="AH73"/>
      <c r="AI73"/>
    </row>
    <row r="74" spans="3:35" s="2" customFormat="1" ht="15.95" hidden="1" customHeight="1">
      <c r="C74" s="23">
        <v>0</v>
      </c>
      <c r="D74" s="23">
        <v>0</v>
      </c>
      <c r="E74" s="47"/>
      <c r="F74" s="184"/>
      <c r="G74" s="185"/>
      <c r="H74" s="185"/>
      <c r="I74" s="186"/>
      <c r="J74" s="76">
        <v>0</v>
      </c>
      <c r="K74" s="187">
        <v>0</v>
      </c>
      <c r="L74" s="188"/>
      <c r="M74" s="81">
        <f>ROUND(oknPrice_55*oknQuantity_55,2)</f>
        <v>0</v>
      </c>
      <c r="N74" s="69">
        <f>ROUND(IF(oknTaxable_55,oknTotalNet_55*oknTax1Rate,0),2)</f>
        <v>0</v>
      </c>
      <c r="O74" s="69">
        <f>oknTotalNet_55+oknVat_55</f>
        <v>0</v>
      </c>
      <c r="P74" s="15"/>
      <c r="Q74" s="92"/>
      <c r="R74" s="94">
        <v>55</v>
      </c>
      <c r="S74" s="92"/>
      <c r="T74" s="92"/>
      <c r="U74" s="92"/>
      <c r="V74" s="92"/>
      <c r="W74" s="92"/>
      <c r="X74" s="92"/>
      <c r="Y74" s="92"/>
      <c r="Z74" s="129"/>
      <c r="AA74" s="129"/>
      <c r="AB74" s="129"/>
      <c r="AC74"/>
      <c r="AD74"/>
      <c r="AE74"/>
      <c r="AF74"/>
      <c r="AG74"/>
      <c r="AH74"/>
      <c r="AI74"/>
    </row>
    <row r="75" spans="3:35" s="2" customFormat="1" ht="15.95" hidden="1" customHeight="1">
      <c r="C75" s="23">
        <v>0</v>
      </c>
      <c r="D75" s="23">
        <v>0</v>
      </c>
      <c r="E75" s="47"/>
      <c r="F75" s="189"/>
      <c r="G75" s="190"/>
      <c r="H75" s="190"/>
      <c r="I75" s="191"/>
      <c r="J75" s="74">
        <v>0</v>
      </c>
      <c r="K75" s="192">
        <v>0</v>
      </c>
      <c r="L75" s="193"/>
      <c r="M75" s="80">
        <f>ROUND(oknPrice_56*oknQuantity_56,2)</f>
        <v>0</v>
      </c>
      <c r="N75" s="66">
        <f>ROUND(IF(oknTaxable_56,oknTotalNet_56*oknTax1Rate,0),2)</f>
        <v>0</v>
      </c>
      <c r="O75" s="66">
        <f>oknTotalNet_56+oknVat_56</f>
        <v>0</v>
      </c>
      <c r="P75" s="16"/>
      <c r="Q75" s="92"/>
      <c r="R75" s="94">
        <v>56</v>
      </c>
      <c r="S75" s="92"/>
      <c r="T75" s="92"/>
      <c r="U75" s="92"/>
      <c r="V75" s="92"/>
      <c r="W75" s="92"/>
      <c r="X75" s="92"/>
      <c r="Y75" s="92"/>
      <c r="Z75" s="129"/>
      <c r="AA75" s="129"/>
      <c r="AB75" s="129"/>
      <c r="AC75"/>
      <c r="AD75"/>
      <c r="AE75"/>
      <c r="AF75"/>
      <c r="AG75"/>
      <c r="AH75"/>
      <c r="AI75"/>
    </row>
    <row r="76" spans="3:35" s="2" customFormat="1" ht="15.95" hidden="1" customHeight="1">
      <c r="C76" s="23">
        <v>0</v>
      </c>
      <c r="D76" s="23">
        <v>0</v>
      </c>
      <c r="E76" s="47"/>
      <c r="F76" s="184"/>
      <c r="G76" s="185"/>
      <c r="H76" s="185"/>
      <c r="I76" s="186"/>
      <c r="J76" s="76">
        <v>0</v>
      </c>
      <c r="K76" s="187">
        <v>0</v>
      </c>
      <c r="L76" s="188"/>
      <c r="M76" s="81">
        <f>ROUND(oknPrice_57*oknQuantity_57,2)</f>
        <v>0</v>
      </c>
      <c r="N76" s="69">
        <f>ROUND(IF(oknTaxable_57,oknTotalNet_57*oknTax1Rate,0),2)</f>
        <v>0</v>
      </c>
      <c r="O76" s="69">
        <f>oknTotalNet_57+oknVat_57</f>
        <v>0</v>
      </c>
      <c r="P76" s="15"/>
      <c r="Q76" s="92"/>
      <c r="R76" s="94">
        <v>57</v>
      </c>
      <c r="S76" s="92"/>
      <c r="T76" s="92"/>
      <c r="U76" s="92"/>
      <c r="V76" s="92"/>
      <c r="W76" s="92"/>
      <c r="X76" s="92"/>
      <c r="Y76" s="92"/>
      <c r="Z76" s="129"/>
      <c r="AA76" s="129"/>
      <c r="AB76" s="129"/>
      <c r="AC76"/>
      <c r="AD76"/>
      <c r="AE76"/>
      <c r="AF76"/>
      <c r="AG76"/>
      <c r="AH76"/>
      <c r="AI76"/>
    </row>
    <row r="77" spans="3:35" s="2" customFormat="1" ht="15.95" hidden="1" customHeight="1">
      <c r="C77" s="23">
        <v>0</v>
      </c>
      <c r="D77" s="23">
        <v>0</v>
      </c>
      <c r="E77" s="47"/>
      <c r="F77" s="189"/>
      <c r="G77" s="190"/>
      <c r="H77" s="190"/>
      <c r="I77" s="191"/>
      <c r="J77" s="74">
        <v>0</v>
      </c>
      <c r="K77" s="192">
        <v>0</v>
      </c>
      <c r="L77" s="193"/>
      <c r="M77" s="80">
        <f>ROUND(oknPrice_58*oknQuantity_58,2)</f>
        <v>0</v>
      </c>
      <c r="N77" s="66">
        <f>ROUND(IF(oknTaxable_58,oknTotalNet_58*oknTax1Rate,0),2)</f>
        <v>0</v>
      </c>
      <c r="O77" s="66">
        <f>oknTotalNet_58+oknVat_58</f>
        <v>0</v>
      </c>
      <c r="P77" s="16"/>
      <c r="Q77" s="92"/>
      <c r="R77" s="94">
        <v>58</v>
      </c>
      <c r="S77" s="92"/>
      <c r="T77" s="92"/>
      <c r="U77" s="92"/>
      <c r="V77" s="92"/>
      <c r="W77" s="92"/>
      <c r="X77" s="92"/>
      <c r="Y77" s="92"/>
      <c r="Z77" s="129"/>
      <c r="AA77" s="129"/>
      <c r="AB77" s="129"/>
      <c r="AC77"/>
      <c r="AD77"/>
      <c r="AE77"/>
      <c r="AF77"/>
      <c r="AG77"/>
      <c r="AH77"/>
      <c r="AI77"/>
    </row>
    <row r="78" spans="3:35" s="2" customFormat="1" ht="15.95" hidden="1" customHeight="1">
      <c r="C78" s="23">
        <v>0</v>
      </c>
      <c r="D78" s="23">
        <v>0</v>
      </c>
      <c r="E78" s="47"/>
      <c r="F78" s="194"/>
      <c r="G78" s="195"/>
      <c r="H78" s="195"/>
      <c r="I78" s="196"/>
      <c r="J78" s="77">
        <v>0</v>
      </c>
      <c r="K78" s="197">
        <v>0</v>
      </c>
      <c r="L78" s="198"/>
      <c r="M78" s="82">
        <f>ROUND(oknPrice_59*oknQuantity_59,2)</f>
        <v>0</v>
      </c>
      <c r="N78" s="70">
        <f>ROUND(IF(oknTaxable_59,oknTotalNet_59*oknTax1Rate,0),2)</f>
        <v>0</v>
      </c>
      <c r="O78" s="70">
        <f>oknTotalNet_59+oknVat_59</f>
        <v>0</v>
      </c>
      <c r="P78" s="15"/>
      <c r="Q78" s="92"/>
      <c r="R78" s="94">
        <v>59</v>
      </c>
      <c r="S78" s="92"/>
      <c r="T78" s="92"/>
      <c r="U78" s="92"/>
      <c r="V78" s="92"/>
      <c r="W78" s="92"/>
      <c r="X78" s="92"/>
      <c r="Y78" s="92"/>
      <c r="Z78" s="129"/>
      <c r="AA78" s="129"/>
      <c r="AB78" s="129"/>
      <c r="AC78"/>
      <c r="AD78"/>
      <c r="AE78"/>
      <c r="AF78"/>
      <c r="AG78"/>
      <c r="AH78"/>
      <c r="AI78"/>
    </row>
    <row r="79" spans="3:35" s="2" customFormat="1" ht="15.95" hidden="1" customHeight="1">
      <c r="C79" s="23">
        <v>0</v>
      </c>
      <c r="D79" s="23">
        <v>0</v>
      </c>
      <c r="E79" s="47"/>
      <c r="F79" s="189"/>
      <c r="G79" s="190"/>
      <c r="H79" s="190"/>
      <c r="I79" s="191"/>
      <c r="J79" s="74">
        <v>0</v>
      </c>
      <c r="K79" s="192">
        <v>0</v>
      </c>
      <c r="L79" s="193"/>
      <c r="M79" s="80">
        <f>ROUND(oknPrice_60*oknQuantity_60,2)</f>
        <v>0</v>
      </c>
      <c r="N79" s="66">
        <f>ROUND(IF(oknTaxable_60,oknTotalNet_60*oknTax1Rate,0),2)</f>
        <v>0</v>
      </c>
      <c r="O79" s="66">
        <f>oknTotalNet_60+oknVat_60</f>
        <v>0</v>
      </c>
      <c r="P79" s="16"/>
      <c r="Q79" s="92"/>
      <c r="R79" s="94">
        <v>60</v>
      </c>
      <c r="S79" s="92"/>
      <c r="T79" s="92"/>
      <c r="U79" s="92"/>
      <c r="V79" s="92"/>
      <c r="W79" s="92"/>
      <c r="X79" s="92"/>
      <c r="Y79" s="92"/>
      <c r="Z79" s="129"/>
      <c r="AA79" s="129"/>
      <c r="AB79" s="129"/>
      <c r="AC79"/>
      <c r="AD79"/>
      <c r="AE79"/>
      <c r="AF79"/>
      <c r="AG79"/>
      <c r="AH79"/>
      <c r="AI79"/>
    </row>
    <row r="80" spans="3:35" s="2" customFormat="1" ht="15.95" hidden="1" customHeight="1">
      <c r="C80" s="23">
        <v>0</v>
      </c>
      <c r="D80" s="23">
        <v>0</v>
      </c>
      <c r="E80" s="47"/>
      <c r="F80" s="184"/>
      <c r="G80" s="185"/>
      <c r="H80" s="185"/>
      <c r="I80" s="186"/>
      <c r="J80" s="76">
        <v>0</v>
      </c>
      <c r="K80" s="187">
        <v>0</v>
      </c>
      <c r="L80" s="188"/>
      <c r="M80" s="81">
        <f>ROUND(oknPrice_61*oknQuantity_61,2)</f>
        <v>0</v>
      </c>
      <c r="N80" s="69">
        <f>ROUND(IF(oknTaxable_61,oknTotalNet_61*oknTax1Rate,0),2)</f>
        <v>0</v>
      </c>
      <c r="O80" s="69">
        <f>oknTotalNet_61+oknVat_61</f>
        <v>0</v>
      </c>
      <c r="P80" s="15"/>
      <c r="Q80" s="92"/>
      <c r="R80" s="94">
        <v>61</v>
      </c>
      <c r="S80" s="92"/>
      <c r="T80" s="92"/>
      <c r="U80" s="92"/>
      <c r="V80" s="92"/>
      <c r="W80" s="92"/>
      <c r="X80" s="92"/>
      <c r="Y80" s="92"/>
      <c r="Z80" s="129"/>
      <c r="AA80" s="129"/>
      <c r="AB80" s="129"/>
      <c r="AC80"/>
      <c r="AD80"/>
      <c r="AE80"/>
      <c r="AF80"/>
      <c r="AG80"/>
      <c r="AH80"/>
      <c r="AI80"/>
    </row>
    <row r="81" spans="3:35" s="2" customFormat="1" ht="15.95" hidden="1" customHeight="1">
      <c r="C81" s="23">
        <v>0</v>
      </c>
      <c r="D81" s="23">
        <v>0</v>
      </c>
      <c r="E81" s="47"/>
      <c r="F81" s="189"/>
      <c r="G81" s="190"/>
      <c r="H81" s="190"/>
      <c r="I81" s="191"/>
      <c r="J81" s="74">
        <v>0</v>
      </c>
      <c r="K81" s="192">
        <v>0</v>
      </c>
      <c r="L81" s="193"/>
      <c r="M81" s="80">
        <f>ROUND(oknPrice_62*oknQuantity_62,2)</f>
        <v>0</v>
      </c>
      <c r="N81" s="66">
        <f>ROUND(IF(oknTaxable_62,oknTotalNet_62*oknTax1Rate,0),2)</f>
        <v>0</v>
      </c>
      <c r="O81" s="66">
        <f>oknTotalNet_62+oknVat_62</f>
        <v>0</v>
      </c>
      <c r="P81" s="16"/>
      <c r="Q81" s="92"/>
      <c r="R81" s="94">
        <v>62</v>
      </c>
      <c r="S81" s="92"/>
      <c r="T81" s="92"/>
      <c r="U81" s="92"/>
      <c r="V81" s="92"/>
      <c r="W81" s="92"/>
      <c r="X81" s="92"/>
      <c r="Y81" s="92"/>
      <c r="Z81" s="129"/>
      <c r="AA81" s="129"/>
      <c r="AB81" s="129"/>
      <c r="AC81"/>
      <c r="AD81"/>
      <c r="AE81"/>
      <c r="AF81"/>
      <c r="AG81"/>
      <c r="AH81"/>
      <c r="AI81"/>
    </row>
    <row r="82" spans="3:35" s="2" customFormat="1" ht="15.95" hidden="1" customHeight="1">
      <c r="C82" s="23">
        <v>0</v>
      </c>
      <c r="D82" s="23">
        <v>0</v>
      </c>
      <c r="E82" s="47"/>
      <c r="F82" s="184"/>
      <c r="G82" s="185"/>
      <c r="H82" s="185"/>
      <c r="I82" s="186"/>
      <c r="J82" s="76">
        <v>0</v>
      </c>
      <c r="K82" s="187">
        <v>0</v>
      </c>
      <c r="L82" s="188"/>
      <c r="M82" s="81">
        <f>ROUND(oknPrice_63*oknQuantity_63,2)</f>
        <v>0</v>
      </c>
      <c r="N82" s="69">
        <f>ROUND(IF(oknTaxable_63,oknTotalNet_63*oknTax1Rate,0),2)</f>
        <v>0</v>
      </c>
      <c r="O82" s="69">
        <f>oknTotalNet_63+oknVat_63</f>
        <v>0</v>
      </c>
      <c r="P82" s="15"/>
      <c r="Q82" s="92"/>
      <c r="R82" s="94">
        <v>63</v>
      </c>
      <c r="S82" s="92"/>
      <c r="T82" s="92"/>
      <c r="U82" s="92"/>
      <c r="V82" s="92"/>
      <c r="W82" s="92"/>
      <c r="X82" s="92"/>
      <c r="Y82" s="92"/>
      <c r="Z82" s="129"/>
      <c r="AA82" s="129"/>
      <c r="AB82" s="129"/>
      <c r="AC82"/>
      <c r="AD82"/>
      <c r="AE82"/>
      <c r="AF82"/>
      <c r="AG82"/>
      <c r="AH82"/>
      <c r="AI82"/>
    </row>
    <row r="83" spans="3:35" s="2" customFormat="1" ht="15.95" hidden="1" customHeight="1">
      <c r="C83" s="23">
        <v>0</v>
      </c>
      <c r="D83" s="23">
        <v>0</v>
      </c>
      <c r="E83" s="47"/>
      <c r="F83" s="189"/>
      <c r="G83" s="190"/>
      <c r="H83" s="190"/>
      <c r="I83" s="191"/>
      <c r="J83" s="74">
        <v>0</v>
      </c>
      <c r="K83" s="192">
        <v>0</v>
      </c>
      <c r="L83" s="193"/>
      <c r="M83" s="80">
        <f>ROUND(oknPrice_64*oknQuantity_64,2)</f>
        <v>0</v>
      </c>
      <c r="N83" s="66">
        <f>ROUND(IF(oknTaxable_64,oknTotalNet_64*oknTax1Rate,0),2)</f>
        <v>0</v>
      </c>
      <c r="O83" s="66">
        <f>oknTotalNet_64+oknVat_64</f>
        <v>0</v>
      </c>
      <c r="P83" s="16"/>
      <c r="Q83" s="92"/>
      <c r="R83" s="94">
        <v>64</v>
      </c>
      <c r="S83" s="92"/>
      <c r="T83" s="92"/>
      <c r="U83" s="92"/>
      <c r="V83" s="92"/>
      <c r="W83" s="92"/>
      <c r="X83" s="92"/>
      <c r="Y83" s="92"/>
      <c r="Z83" s="129"/>
      <c r="AA83" s="129"/>
      <c r="AB83" s="129"/>
      <c r="AC83"/>
      <c r="AD83"/>
      <c r="AE83"/>
      <c r="AF83"/>
      <c r="AG83"/>
      <c r="AH83"/>
      <c r="AI83"/>
    </row>
    <row r="84" spans="3:35" s="2" customFormat="1" ht="15.95" hidden="1" customHeight="1">
      <c r="C84" s="23">
        <v>0</v>
      </c>
      <c r="D84" s="23">
        <v>0</v>
      </c>
      <c r="E84" s="47"/>
      <c r="F84" s="184"/>
      <c r="G84" s="185"/>
      <c r="H84" s="185"/>
      <c r="I84" s="186"/>
      <c r="J84" s="76">
        <v>0</v>
      </c>
      <c r="K84" s="187">
        <v>0</v>
      </c>
      <c r="L84" s="188"/>
      <c r="M84" s="81">
        <f>ROUND(oknPrice_65*oknQuantity_65,2)</f>
        <v>0</v>
      </c>
      <c r="N84" s="69">
        <f>ROUND(IF(oknTaxable_65,oknTotalNet_65*oknTax1Rate,0),2)</f>
        <v>0</v>
      </c>
      <c r="O84" s="69">
        <f>oknTotalNet_65+oknVat_65</f>
        <v>0</v>
      </c>
      <c r="P84" s="15"/>
      <c r="Q84" s="92"/>
      <c r="R84" s="94">
        <v>65</v>
      </c>
      <c r="S84" s="92"/>
      <c r="T84" s="92"/>
      <c r="U84" s="92"/>
      <c r="V84" s="92"/>
      <c r="W84" s="92"/>
      <c r="X84" s="92"/>
      <c r="Y84" s="92"/>
      <c r="Z84" s="129"/>
      <c r="AA84" s="129"/>
      <c r="AB84" s="129"/>
      <c r="AC84"/>
      <c r="AD84"/>
      <c r="AE84"/>
      <c r="AF84"/>
      <c r="AG84"/>
      <c r="AH84"/>
      <c r="AI84"/>
    </row>
    <row r="85" spans="3:35" s="2" customFormat="1" ht="15.95" hidden="1" customHeight="1">
      <c r="C85" s="23">
        <v>0</v>
      </c>
      <c r="D85" s="23">
        <v>0</v>
      </c>
      <c r="E85" s="47"/>
      <c r="F85" s="189"/>
      <c r="G85" s="190"/>
      <c r="H85" s="190"/>
      <c r="I85" s="191"/>
      <c r="J85" s="74">
        <v>0</v>
      </c>
      <c r="K85" s="192">
        <v>0</v>
      </c>
      <c r="L85" s="193"/>
      <c r="M85" s="80">
        <f>ROUND(oknPrice_66*oknQuantity_66,2)</f>
        <v>0</v>
      </c>
      <c r="N85" s="66">
        <f>ROUND(IF(oknTaxable_66,oknTotalNet_66*oknTax1Rate,0),2)</f>
        <v>0</v>
      </c>
      <c r="O85" s="66">
        <f>oknTotalNet_66+oknVat_66</f>
        <v>0</v>
      </c>
      <c r="P85" s="16"/>
      <c r="Q85" s="92"/>
      <c r="R85" s="94">
        <v>66</v>
      </c>
      <c r="S85" s="92"/>
      <c r="T85" s="92"/>
      <c r="U85" s="92"/>
      <c r="V85" s="92"/>
      <c r="W85" s="92"/>
      <c r="X85" s="92"/>
      <c r="Y85" s="92"/>
      <c r="Z85" s="129"/>
      <c r="AA85" s="129"/>
      <c r="AB85" s="129"/>
      <c r="AC85"/>
      <c r="AD85"/>
      <c r="AE85"/>
      <c r="AF85"/>
      <c r="AG85"/>
      <c r="AH85"/>
      <c r="AI85"/>
    </row>
    <row r="86" spans="3:35" s="2" customFormat="1" ht="15.95" hidden="1" customHeight="1">
      <c r="C86" s="23">
        <v>0</v>
      </c>
      <c r="D86" s="23">
        <v>0</v>
      </c>
      <c r="E86" s="47"/>
      <c r="F86" s="184"/>
      <c r="G86" s="185"/>
      <c r="H86" s="185"/>
      <c r="I86" s="186"/>
      <c r="J86" s="76">
        <v>0</v>
      </c>
      <c r="K86" s="187">
        <v>0</v>
      </c>
      <c r="L86" s="188"/>
      <c r="M86" s="81">
        <f>ROUND(oknPrice_67*oknQuantity_67,2)</f>
        <v>0</v>
      </c>
      <c r="N86" s="69">
        <f>ROUND(IF(oknTaxable_67,oknTotalNet_67*oknTax1Rate,0),2)</f>
        <v>0</v>
      </c>
      <c r="O86" s="69">
        <f>oknTotalNet_67+oknVat_67</f>
        <v>0</v>
      </c>
      <c r="P86" s="15"/>
      <c r="Q86" s="92"/>
      <c r="R86" s="94">
        <v>67</v>
      </c>
      <c r="S86" s="92"/>
      <c r="T86" s="92"/>
      <c r="U86" s="92"/>
      <c r="V86" s="92"/>
      <c r="W86" s="92"/>
      <c r="X86" s="92"/>
      <c r="Y86" s="92"/>
      <c r="Z86" s="129"/>
      <c r="AA86" s="129"/>
      <c r="AB86" s="129"/>
      <c r="AC86"/>
      <c r="AD86"/>
      <c r="AE86"/>
      <c r="AF86"/>
      <c r="AG86"/>
      <c r="AH86"/>
      <c r="AI86"/>
    </row>
    <row r="87" spans="3:35" s="2" customFormat="1" ht="15.95" hidden="1" customHeight="1">
      <c r="C87" s="23">
        <v>0</v>
      </c>
      <c r="D87" s="23">
        <v>0</v>
      </c>
      <c r="E87" s="47"/>
      <c r="F87" s="189"/>
      <c r="G87" s="190"/>
      <c r="H87" s="190"/>
      <c r="I87" s="191"/>
      <c r="J87" s="74">
        <v>0</v>
      </c>
      <c r="K87" s="192">
        <v>0</v>
      </c>
      <c r="L87" s="193"/>
      <c r="M87" s="80">
        <f>ROUND(oknPrice_68*oknQuantity_68,2)</f>
        <v>0</v>
      </c>
      <c r="N87" s="66">
        <f>ROUND(IF(oknTaxable_68,oknTotalNet_68*oknTax1Rate,0),2)</f>
        <v>0</v>
      </c>
      <c r="O87" s="66">
        <f>oknTotalNet_68+oknVat_68</f>
        <v>0</v>
      </c>
      <c r="P87" s="16"/>
      <c r="Q87" s="92"/>
      <c r="R87" s="94">
        <v>68</v>
      </c>
      <c r="S87" s="92"/>
      <c r="T87" s="92"/>
      <c r="U87" s="92"/>
      <c r="V87" s="92"/>
      <c r="W87" s="92"/>
      <c r="X87" s="92"/>
      <c r="Y87" s="92"/>
      <c r="Z87" s="129"/>
      <c r="AA87" s="129"/>
      <c r="AB87" s="129"/>
      <c r="AC87"/>
      <c r="AD87"/>
      <c r="AE87"/>
      <c r="AF87"/>
      <c r="AG87"/>
      <c r="AH87"/>
      <c r="AI87"/>
    </row>
    <row r="88" spans="3:35" s="2" customFormat="1" ht="15.95" hidden="1" customHeight="1">
      <c r="C88" s="23">
        <v>0</v>
      </c>
      <c r="D88" s="23">
        <v>0</v>
      </c>
      <c r="E88" s="47"/>
      <c r="F88" s="184"/>
      <c r="G88" s="185"/>
      <c r="H88" s="185"/>
      <c r="I88" s="186"/>
      <c r="J88" s="76">
        <v>0</v>
      </c>
      <c r="K88" s="187">
        <v>0</v>
      </c>
      <c r="L88" s="188"/>
      <c r="M88" s="81">
        <f>ROUND(oknPrice_69*oknQuantity_69,2)</f>
        <v>0</v>
      </c>
      <c r="N88" s="69">
        <f>ROUND(IF(oknTaxable_69,oknTotalNet_69*oknTax1Rate,0),2)</f>
        <v>0</v>
      </c>
      <c r="O88" s="69">
        <f>oknTotalNet_69+oknVat_69</f>
        <v>0</v>
      </c>
      <c r="P88" s="15"/>
      <c r="Q88" s="92"/>
      <c r="R88" s="94">
        <v>69</v>
      </c>
      <c r="S88" s="92"/>
      <c r="T88" s="92"/>
      <c r="U88" s="92"/>
      <c r="V88" s="92"/>
      <c r="W88" s="92"/>
      <c r="X88" s="92"/>
      <c r="Y88" s="92"/>
      <c r="Z88" s="129"/>
      <c r="AA88" s="129"/>
      <c r="AB88" s="129"/>
      <c r="AC88"/>
      <c r="AD88"/>
      <c r="AE88"/>
      <c r="AF88"/>
      <c r="AG88"/>
      <c r="AH88"/>
      <c r="AI88"/>
    </row>
    <row r="89" spans="3:35" s="2" customFormat="1" ht="15.95" hidden="1" customHeight="1">
      <c r="C89" s="23">
        <v>0</v>
      </c>
      <c r="D89" s="23">
        <v>0</v>
      </c>
      <c r="E89" s="47"/>
      <c r="F89" s="189"/>
      <c r="G89" s="190"/>
      <c r="H89" s="190"/>
      <c r="I89" s="191"/>
      <c r="J89" s="74">
        <v>0</v>
      </c>
      <c r="K89" s="192">
        <v>0</v>
      </c>
      <c r="L89" s="193"/>
      <c r="M89" s="80">
        <f>ROUND(oknPrice_70*oknQuantity_70,2)</f>
        <v>0</v>
      </c>
      <c r="N89" s="66">
        <f>ROUND(IF(oknTaxable_70,oknTotalNet_70*oknTax1Rate,0),2)</f>
        <v>0</v>
      </c>
      <c r="O89" s="66">
        <f>oknTotalNet_70+oknVat_70</f>
        <v>0</v>
      </c>
      <c r="P89" s="16"/>
      <c r="Q89" s="92"/>
      <c r="R89" s="94">
        <v>70</v>
      </c>
      <c r="S89" s="92"/>
      <c r="T89" s="92"/>
      <c r="U89" s="92"/>
      <c r="V89" s="92"/>
      <c r="W89" s="92"/>
      <c r="X89" s="92"/>
      <c r="Y89" s="92"/>
      <c r="Z89" s="129"/>
      <c r="AA89" s="129"/>
      <c r="AB89" s="129"/>
      <c r="AC89"/>
      <c r="AD89"/>
      <c r="AE89"/>
      <c r="AF89"/>
      <c r="AG89"/>
      <c r="AH89"/>
      <c r="AI89"/>
    </row>
    <row r="90" spans="3:35" s="2" customFormat="1" ht="15.95" hidden="1" customHeight="1">
      <c r="C90" s="23">
        <v>0</v>
      </c>
      <c r="D90" s="23">
        <v>0</v>
      </c>
      <c r="E90" s="47"/>
      <c r="F90" s="184"/>
      <c r="G90" s="185"/>
      <c r="H90" s="185"/>
      <c r="I90" s="186"/>
      <c r="J90" s="76">
        <v>0</v>
      </c>
      <c r="K90" s="187">
        <v>0</v>
      </c>
      <c r="L90" s="188"/>
      <c r="M90" s="81">
        <f>ROUND(oknPrice_71*oknQuantity_71,2)</f>
        <v>0</v>
      </c>
      <c r="N90" s="69">
        <f>ROUND(IF(oknTaxable_71,oknTotalNet_71*oknTax1Rate,0),2)</f>
        <v>0</v>
      </c>
      <c r="O90" s="69">
        <f>oknTotalNet_71+oknVat_71</f>
        <v>0</v>
      </c>
      <c r="P90" s="15"/>
      <c r="Q90" s="92"/>
      <c r="R90" s="94">
        <v>71</v>
      </c>
      <c r="S90" s="92"/>
      <c r="T90" s="92"/>
      <c r="U90" s="92"/>
      <c r="V90" s="92"/>
      <c r="W90" s="92"/>
      <c r="X90" s="92"/>
      <c r="Y90" s="92"/>
      <c r="Z90" s="129"/>
      <c r="AA90" s="129"/>
      <c r="AB90" s="129"/>
      <c r="AC90"/>
      <c r="AD90"/>
      <c r="AE90"/>
      <c r="AF90"/>
      <c r="AG90"/>
      <c r="AH90"/>
      <c r="AI90"/>
    </row>
    <row r="91" spans="3:35" s="2" customFormat="1" ht="15.95" hidden="1" customHeight="1">
      <c r="C91" s="23">
        <v>0</v>
      </c>
      <c r="D91" s="23">
        <v>0</v>
      </c>
      <c r="E91" s="47"/>
      <c r="F91" s="189"/>
      <c r="G91" s="190"/>
      <c r="H91" s="190"/>
      <c r="I91" s="191"/>
      <c r="J91" s="74">
        <v>0</v>
      </c>
      <c r="K91" s="192">
        <v>0</v>
      </c>
      <c r="L91" s="193"/>
      <c r="M91" s="80">
        <f>ROUND(oknPrice_72*oknQuantity_72,2)</f>
        <v>0</v>
      </c>
      <c r="N91" s="66">
        <f>ROUND(IF(oknTaxable_72,oknTotalNet_72*oknTax1Rate,0),2)</f>
        <v>0</v>
      </c>
      <c r="O91" s="66">
        <f>oknTotalNet_72+oknVat_72</f>
        <v>0</v>
      </c>
      <c r="P91" s="16"/>
      <c r="Q91" s="92"/>
      <c r="R91" s="94">
        <v>72</v>
      </c>
      <c r="S91" s="92"/>
      <c r="T91" s="92"/>
      <c r="U91" s="92"/>
      <c r="V91" s="92"/>
      <c r="W91" s="92"/>
      <c r="X91" s="92"/>
      <c r="Y91" s="92"/>
      <c r="Z91" s="129"/>
      <c r="AA91" s="129"/>
      <c r="AB91" s="129"/>
      <c r="AC91"/>
      <c r="AD91"/>
      <c r="AE91"/>
      <c r="AF91"/>
      <c r="AG91"/>
      <c r="AH91"/>
      <c r="AI91"/>
    </row>
    <row r="92" spans="3:35" s="2" customFormat="1" ht="15.95" hidden="1" customHeight="1">
      <c r="C92" s="23">
        <v>0</v>
      </c>
      <c r="D92" s="23">
        <v>0</v>
      </c>
      <c r="E92" s="47"/>
      <c r="F92" s="184"/>
      <c r="G92" s="185"/>
      <c r="H92" s="185"/>
      <c r="I92" s="186"/>
      <c r="J92" s="76">
        <v>0</v>
      </c>
      <c r="K92" s="187">
        <v>0</v>
      </c>
      <c r="L92" s="188"/>
      <c r="M92" s="81">
        <f>ROUND(oknPrice_73*oknQuantity_73,2)</f>
        <v>0</v>
      </c>
      <c r="N92" s="69">
        <f>ROUND(IF(oknTaxable_73,oknTotalNet_73*oknTax1Rate,0),2)</f>
        <v>0</v>
      </c>
      <c r="O92" s="69">
        <f>oknTotalNet_73+oknVat_73</f>
        <v>0</v>
      </c>
      <c r="P92" s="15"/>
      <c r="Q92" s="92"/>
      <c r="R92" s="94">
        <v>73</v>
      </c>
      <c r="S92" s="92"/>
      <c r="T92" s="92"/>
      <c r="U92" s="92"/>
      <c r="V92" s="92"/>
      <c r="W92" s="92"/>
      <c r="X92" s="92"/>
      <c r="Y92" s="92"/>
      <c r="Z92" s="129"/>
      <c r="AA92" s="129"/>
      <c r="AB92" s="129"/>
      <c r="AC92"/>
      <c r="AD92"/>
      <c r="AE92"/>
      <c r="AF92"/>
      <c r="AG92"/>
      <c r="AH92"/>
      <c r="AI92"/>
    </row>
    <row r="93" spans="3:35" s="2" customFormat="1" ht="15.95" hidden="1" customHeight="1">
      <c r="C93" s="23">
        <v>0</v>
      </c>
      <c r="D93" s="23">
        <v>0</v>
      </c>
      <c r="E93" s="47"/>
      <c r="F93" s="189"/>
      <c r="G93" s="190"/>
      <c r="H93" s="190"/>
      <c r="I93" s="191"/>
      <c r="J93" s="74">
        <v>0</v>
      </c>
      <c r="K93" s="192">
        <v>0</v>
      </c>
      <c r="L93" s="193"/>
      <c r="M93" s="80">
        <f>ROUND(oknPrice_74*oknQuantity_74,2)</f>
        <v>0</v>
      </c>
      <c r="N93" s="66">
        <f>ROUND(IF(oknTaxable_74,oknTotalNet_74*oknTax1Rate,0),2)</f>
        <v>0</v>
      </c>
      <c r="O93" s="66">
        <f>oknTotalNet_74+oknVat_74</f>
        <v>0</v>
      </c>
      <c r="P93" s="16"/>
      <c r="Q93" s="92"/>
      <c r="R93" s="94">
        <v>74</v>
      </c>
      <c r="S93" s="92"/>
      <c r="T93" s="92"/>
      <c r="U93" s="92"/>
      <c r="V93" s="92"/>
      <c r="W93" s="92"/>
      <c r="X93" s="92"/>
      <c r="Y93" s="92"/>
      <c r="Z93" s="129"/>
      <c r="AA93" s="129"/>
      <c r="AB93" s="129"/>
      <c r="AC93"/>
      <c r="AD93"/>
      <c r="AE93"/>
      <c r="AF93"/>
      <c r="AG93"/>
      <c r="AH93"/>
      <c r="AI93"/>
    </row>
    <row r="94" spans="3:35" s="2" customFormat="1" ht="15.95" hidden="1" customHeight="1">
      <c r="C94" s="23">
        <v>0</v>
      </c>
      <c r="D94" s="23">
        <v>0</v>
      </c>
      <c r="E94" s="47"/>
      <c r="F94" s="184"/>
      <c r="G94" s="185"/>
      <c r="H94" s="185"/>
      <c r="I94" s="186"/>
      <c r="J94" s="76">
        <v>0</v>
      </c>
      <c r="K94" s="187">
        <v>0</v>
      </c>
      <c r="L94" s="188"/>
      <c r="M94" s="81">
        <f>ROUND(oknPrice_75*oknQuantity_75,2)</f>
        <v>0</v>
      </c>
      <c r="N94" s="69">
        <f>ROUND(IF(oknTaxable_75,oknTotalNet_75*oknTax1Rate,0),2)</f>
        <v>0</v>
      </c>
      <c r="O94" s="69">
        <f>oknTotalNet_75+oknVat_75</f>
        <v>0</v>
      </c>
      <c r="P94" s="15"/>
      <c r="Q94" s="92"/>
      <c r="R94" s="94">
        <v>75</v>
      </c>
      <c r="S94" s="92"/>
      <c r="T94" s="92"/>
      <c r="U94" s="92"/>
      <c r="V94" s="92"/>
      <c r="W94" s="92"/>
      <c r="X94" s="92"/>
      <c r="Y94" s="92"/>
      <c r="Z94" s="129"/>
      <c r="AA94" s="129"/>
      <c r="AB94" s="129"/>
      <c r="AC94"/>
      <c r="AD94"/>
      <c r="AE94"/>
      <c r="AF94"/>
      <c r="AG94"/>
      <c r="AH94"/>
      <c r="AI94"/>
    </row>
    <row r="95" spans="3:35" s="2" customFormat="1" ht="15.95" hidden="1" customHeight="1">
      <c r="C95" s="23">
        <v>0</v>
      </c>
      <c r="D95" s="23">
        <v>0</v>
      </c>
      <c r="E95" s="47"/>
      <c r="F95" s="189"/>
      <c r="G95" s="190"/>
      <c r="H95" s="190"/>
      <c r="I95" s="191"/>
      <c r="J95" s="74">
        <v>0</v>
      </c>
      <c r="K95" s="192">
        <v>0</v>
      </c>
      <c r="L95" s="193"/>
      <c r="M95" s="80">
        <f>ROUND(oknPrice_76*oknQuantity_76,2)</f>
        <v>0</v>
      </c>
      <c r="N95" s="66">
        <f>ROUND(IF(oknTaxable_76,oknTotalNet_76*oknTax1Rate,0),2)</f>
        <v>0</v>
      </c>
      <c r="O95" s="66">
        <f>oknTotalNet_76+oknVat_76</f>
        <v>0</v>
      </c>
      <c r="P95" s="16"/>
      <c r="Q95" s="92"/>
      <c r="R95" s="94">
        <v>76</v>
      </c>
      <c r="S95" s="92"/>
      <c r="T95" s="92"/>
      <c r="U95" s="92"/>
      <c r="V95" s="92"/>
      <c r="W95" s="92"/>
      <c r="X95" s="92"/>
      <c r="Y95" s="92"/>
      <c r="Z95" s="129"/>
      <c r="AA95" s="129"/>
      <c r="AB95" s="129"/>
      <c r="AC95"/>
      <c r="AD95"/>
      <c r="AE95"/>
      <c r="AF95"/>
      <c r="AG95"/>
      <c r="AH95"/>
      <c r="AI95"/>
    </row>
    <row r="96" spans="3:35" s="2" customFormat="1" ht="15.95" hidden="1" customHeight="1">
      <c r="C96" s="23">
        <v>0</v>
      </c>
      <c r="D96" s="23">
        <v>0</v>
      </c>
      <c r="E96" s="47"/>
      <c r="F96" s="184"/>
      <c r="G96" s="185"/>
      <c r="H96" s="185"/>
      <c r="I96" s="186"/>
      <c r="J96" s="76">
        <v>0</v>
      </c>
      <c r="K96" s="187">
        <v>0</v>
      </c>
      <c r="L96" s="188"/>
      <c r="M96" s="81">
        <f>ROUND(oknPrice_77*oknQuantity_77,2)</f>
        <v>0</v>
      </c>
      <c r="N96" s="69">
        <f>ROUND(IF(oknTaxable_77,oknTotalNet_77*oknTax1Rate,0),2)</f>
        <v>0</v>
      </c>
      <c r="O96" s="69">
        <f>oknTotalNet_77+oknVat_77</f>
        <v>0</v>
      </c>
      <c r="P96" s="15"/>
      <c r="Q96" s="92"/>
      <c r="R96" s="94">
        <v>77</v>
      </c>
      <c r="S96" s="92"/>
      <c r="T96" s="92"/>
      <c r="U96" s="92"/>
      <c r="V96" s="92"/>
      <c r="W96" s="92"/>
      <c r="X96" s="92"/>
      <c r="Y96" s="92"/>
      <c r="Z96" s="129"/>
      <c r="AA96" s="129"/>
      <c r="AB96" s="129"/>
      <c r="AC96"/>
      <c r="AD96"/>
      <c r="AE96"/>
      <c r="AF96"/>
      <c r="AG96"/>
      <c r="AH96"/>
      <c r="AI96"/>
    </row>
    <row r="97" spans="3:35" s="2" customFormat="1" ht="15.95" hidden="1" customHeight="1">
      <c r="C97" s="23">
        <v>0</v>
      </c>
      <c r="D97" s="23">
        <v>0</v>
      </c>
      <c r="E97" s="47"/>
      <c r="F97" s="199"/>
      <c r="G97" s="200"/>
      <c r="H97" s="200"/>
      <c r="I97" s="201"/>
      <c r="J97" s="78">
        <v>0</v>
      </c>
      <c r="K97" s="202">
        <v>0</v>
      </c>
      <c r="L97" s="203"/>
      <c r="M97" s="83">
        <f>ROUND(oknPrice_78*oknQuantity_78,2)</f>
        <v>0</v>
      </c>
      <c r="N97" s="68">
        <f>ROUND(IF(oknTaxable_78,oknTotalNet_78*oknTax1Rate,0),2)</f>
        <v>0</v>
      </c>
      <c r="O97" s="68">
        <f>oknTotalNet_78+oknVat_78</f>
        <v>0</v>
      </c>
      <c r="P97" s="16"/>
      <c r="Q97" s="92"/>
      <c r="R97" s="94">
        <v>78</v>
      </c>
      <c r="S97" s="92"/>
      <c r="T97" s="92"/>
      <c r="U97" s="92"/>
      <c r="V97" s="92"/>
      <c r="W97" s="92"/>
      <c r="X97" s="92"/>
      <c r="Y97" s="92"/>
      <c r="Z97" s="129"/>
      <c r="AA97" s="129"/>
      <c r="AB97" s="129"/>
      <c r="AC97"/>
      <c r="AD97"/>
      <c r="AE97"/>
      <c r="AF97"/>
      <c r="AG97"/>
      <c r="AH97"/>
      <c r="AI97"/>
    </row>
    <row r="98" spans="3:35" s="2" customFormat="1" ht="15.95" hidden="1" customHeight="1">
      <c r="C98" s="23">
        <v>0</v>
      </c>
      <c r="D98" s="23">
        <v>0</v>
      </c>
      <c r="E98" s="47"/>
      <c r="F98" s="184"/>
      <c r="G98" s="185"/>
      <c r="H98" s="185"/>
      <c r="I98" s="186"/>
      <c r="J98" s="76">
        <v>0</v>
      </c>
      <c r="K98" s="187">
        <v>0</v>
      </c>
      <c r="L98" s="188"/>
      <c r="M98" s="81">
        <f>ROUND(oknPrice_79*oknQuantity_79,2)</f>
        <v>0</v>
      </c>
      <c r="N98" s="69">
        <f>ROUND(IF(oknTaxable_79,oknTotalNet_79*oknTax1Rate,0),2)</f>
        <v>0</v>
      </c>
      <c r="O98" s="69">
        <f>oknTotalNet_79+oknVat_79</f>
        <v>0</v>
      </c>
      <c r="P98" s="15"/>
      <c r="Q98" s="92"/>
      <c r="R98" s="94">
        <v>79</v>
      </c>
      <c r="S98" s="92"/>
      <c r="T98" s="92"/>
      <c r="U98" s="92"/>
      <c r="V98" s="92"/>
      <c r="W98" s="92"/>
      <c r="X98" s="92"/>
      <c r="Y98" s="92"/>
      <c r="Z98" s="129"/>
      <c r="AA98" s="129"/>
      <c r="AB98" s="129"/>
      <c r="AC98"/>
      <c r="AD98"/>
      <c r="AE98"/>
      <c r="AF98"/>
      <c r="AG98"/>
      <c r="AH98"/>
      <c r="AI98"/>
    </row>
    <row r="99" spans="3:35" s="2" customFormat="1" ht="15.95" hidden="1" customHeight="1">
      <c r="C99" s="23">
        <v>0</v>
      </c>
      <c r="D99" s="23">
        <v>0</v>
      </c>
      <c r="E99" s="47"/>
      <c r="F99" s="189"/>
      <c r="G99" s="190"/>
      <c r="H99" s="190"/>
      <c r="I99" s="191"/>
      <c r="J99" s="74">
        <v>0</v>
      </c>
      <c r="K99" s="192">
        <v>0</v>
      </c>
      <c r="L99" s="193"/>
      <c r="M99" s="80">
        <f>ROUND(oknPrice_80*oknQuantity_80,2)</f>
        <v>0</v>
      </c>
      <c r="N99" s="66">
        <f>ROUND(IF(oknTaxable_80,oknTotalNet_80*oknTax1Rate,0),2)</f>
        <v>0</v>
      </c>
      <c r="O99" s="66">
        <f>oknTotalNet_80+oknVat_80</f>
        <v>0</v>
      </c>
      <c r="P99" s="16"/>
      <c r="Q99" s="92"/>
      <c r="R99" s="94">
        <v>80</v>
      </c>
      <c r="S99" s="92"/>
      <c r="T99" s="92"/>
      <c r="U99" s="92"/>
      <c r="V99" s="92"/>
      <c r="W99" s="92"/>
      <c r="X99" s="92"/>
      <c r="Y99" s="92"/>
      <c r="Z99" s="129"/>
      <c r="AA99" s="129"/>
      <c r="AB99" s="129"/>
      <c r="AC99"/>
      <c r="AD99"/>
      <c r="AE99"/>
      <c r="AF99"/>
      <c r="AG99"/>
      <c r="AH99"/>
      <c r="AI99"/>
    </row>
    <row r="100" spans="3:35" s="2" customFormat="1" ht="15.95" hidden="1" customHeight="1">
      <c r="C100" s="23">
        <v>0</v>
      </c>
      <c r="D100" s="23">
        <v>0</v>
      </c>
      <c r="E100" s="47"/>
      <c r="F100" s="184"/>
      <c r="G100" s="185"/>
      <c r="H100" s="185"/>
      <c r="I100" s="186"/>
      <c r="J100" s="76">
        <v>0</v>
      </c>
      <c r="K100" s="187">
        <v>0</v>
      </c>
      <c r="L100" s="188"/>
      <c r="M100" s="81">
        <f>ROUND(oknPrice_81*oknQuantity_81,2)</f>
        <v>0</v>
      </c>
      <c r="N100" s="69">
        <f>ROUND(IF(oknTaxable_81,oknTotalNet_81*oknTax1Rate,0),2)</f>
        <v>0</v>
      </c>
      <c r="O100" s="69">
        <f>oknTotalNet_81+oknVat_81</f>
        <v>0</v>
      </c>
      <c r="P100" s="15"/>
      <c r="Q100" s="92"/>
      <c r="R100" s="94">
        <v>81</v>
      </c>
      <c r="S100" s="92"/>
      <c r="T100" s="92"/>
      <c r="U100" s="92"/>
      <c r="V100" s="92"/>
      <c r="W100" s="92"/>
      <c r="X100" s="92"/>
      <c r="Y100" s="92"/>
      <c r="Z100" s="129"/>
      <c r="AA100" s="129"/>
      <c r="AB100" s="129"/>
      <c r="AC100"/>
      <c r="AD100"/>
      <c r="AE100"/>
      <c r="AF100"/>
      <c r="AG100"/>
      <c r="AH100"/>
      <c r="AI100"/>
    </row>
    <row r="101" spans="3:35" s="2" customFormat="1" ht="15.95" hidden="1" customHeight="1">
      <c r="C101" s="23">
        <v>0</v>
      </c>
      <c r="D101" s="23">
        <v>0</v>
      </c>
      <c r="E101" s="47"/>
      <c r="F101" s="189"/>
      <c r="G101" s="190"/>
      <c r="H101" s="190"/>
      <c r="I101" s="191"/>
      <c r="J101" s="74">
        <v>0</v>
      </c>
      <c r="K101" s="192">
        <v>0</v>
      </c>
      <c r="L101" s="193"/>
      <c r="M101" s="80">
        <f>ROUND(oknPrice_82*oknQuantity_82,2)</f>
        <v>0</v>
      </c>
      <c r="N101" s="66">
        <f>ROUND(IF(oknTaxable_82,oknTotalNet_82*oknTax1Rate,0),2)</f>
        <v>0</v>
      </c>
      <c r="O101" s="66">
        <f>oknTotalNet_82+oknVat_82</f>
        <v>0</v>
      </c>
      <c r="P101" s="16"/>
      <c r="Q101" s="92"/>
      <c r="R101" s="94">
        <v>82</v>
      </c>
      <c r="S101" s="92"/>
      <c r="T101" s="92"/>
      <c r="U101" s="92"/>
      <c r="V101" s="92"/>
      <c r="W101" s="92"/>
      <c r="X101" s="92"/>
      <c r="Y101" s="92"/>
      <c r="Z101" s="129"/>
      <c r="AA101" s="129"/>
      <c r="AB101" s="129"/>
      <c r="AC101"/>
      <c r="AD101"/>
      <c r="AE101"/>
      <c r="AF101"/>
      <c r="AG101"/>
      <c r="AH101"/>
      <c r="AI101"/>
    </row>
    <row r="102" spans="3:35" s="2" customFormat="1" ht="15.95" hidden="1" customHeight="1">
      <c r="C102" s="23">
        <v>0</v>
      </c>
      <c r="D102" s="23">
        <v>0</v>
      </c>
      <c r="E102" s="47"/>
      <c r="F102" s="184"/>
      <c r="G102" s="185"/>
      <c r="H102" s="185"/>
      <c r="I102" s="186"/>
      <c r="J102" s="76">
        <v>0</v>
      </c>
      <c r="K102" s="187">
        <v>0</v>
      </c>
      <c r="L102" s="188"/>
      <c r="M102" s="81">
        <f>ROUND(oknPrice_83*oknQuantity_83,2)</f>
        <v>0</v>
      </c>
      <c r="N102" s="69">
        <f>ROUND(IF(oknTaxable_83,oknTotalNet_83*oknTax1Rate,0),2)</f>
        <v>0</v>
      </c>
      <c r="O102" s="69">
        <f>oknTotalNet_83+oknVat_83</f>
        <v>0</v>
      </c>
      <c r="P102" s="15"/>
      <c r="Q102" s="92"/>
      <c r="R102" s="94">
        <v>83</v>
      </c>
      <c r="S102" s="92"/>
      <c r="T102" s="92"/>
      <c r="U102" s="92"/>
      <c r="V102" s="92"/>
      <c r="W102" s="92"/>
      <c r="X102" s="92"/>
      <c r="Y102" s="92"/>
      <c r="Z102" s="129"/>
      <c r="AA102" s="129"/>
      <c r="AB102" s="129"/>
      <c r="AC102"/>
      <c r="AD102"/>
      <c r="AE102"/>
      <c r="AF102"/>
      <c r="AG102"/>
      <c r="AH102"/>
      <c r="AI102"/>
    </row>
    <row r="103" spans="3:35" s="2" customFormat="1" ht="15.95" hidden="1" customHeight="1">
      <c r="C103" s="23">
        <v>0</v>
      </c>
      <c r="D103" s="23">
        <v>0</v>
      </c>
      <c r="E103" s="47"/>
      <c r="F103" s="189"/>
      <c r="G103" s="190"/>
      <c r="H103" s="190"/>
      <c r="I103" s="191"/>
      <c r="J103" s="74">
        <v>0</v>
      </c>
      <c r="K103" s="192">
        <v>0</v>
      </c>
      <c r="L103" s="193"/>
      <c r="M103" s="80">
        <f>ROUND(oknPrice_84*oknQuantity_84,2)</f>
        <v>0</v>
      </c>
      <c r="N103" s="66">
        <f>ROUND(IF(oknTaxable_84,oknTotalNet_84*oknTax1Rate,0),2)</f>
        <v>0</v>
      </c>
      <c r="O103" s="66">
        <f>oknTotalNet_84+oknVat_84</f>
        <v>0</v>
      </c>
      <c r="P103" s="16"/>
      <c r="Q103" s="92"/>
      <c r="R103" s="94">
        <v>84</v>
      </c>
      <c r="S103" s="92"/>
      <c r="T103" s="92"/>
      <c r="U103" s="92"/>
      <c r="V103" s="92"/>
      <c r="W103" s="92"/>
      <c r="X103" s="92"/>
      <c r="Y103" s="92"/>
      <c r="Z103" s="129"/>
      <c r="AA103" s="129"/>
      <c r="AB103" s="129"/>
      <c r="AC103"/>
      <c r="AD103"/>
      <c r="AE103"/>
      <c r="AF103"/>
      <c r="AG103"/>
      <c r="AH103"/>
      <c r="AI103"/>
    </row>
    <row r="104" spans="3:35" s="2" customFormat="1" ht="15.95" hidden="1" customHeight="1">
      <c r="C104" s="23">
        <v>0</v>
      </c>
      <c r="D104" s="23">
        <v>0</v>
      </c>
      <c r="E104" s="47"/>
      <c r="F104" s="184"/>
      <c r="G104" s="185"/>
      <c r="H104" s="185"/>
      <c r="I104" s="186"/>
      <c r="J104" s="76">
        <v>0</v>
      </c>
      <c r="K104" s="187">
        <v>0</v>
      </c>
      <c r="L104" s="188"/>
      <c r="M104" s="81">
        <f>ROUND(oknPrice_85*oknQuantity_85,2)</f>
        <v>0</v>
      </c>
      <c r="N104" s="69">
        <f>ROUND(IF(oknTaxable_85,oknTotalNet_85*oknTax1Rate,0),2)</f>
        <v>0</v>
      </c>
      <c r="O104" s="69">
        <f>oknTotalNet_85+oknVat_85</f>
        <v>0</v>
      </c>
      <c r="P104" s="15"/>
      <c r="Q104" s="92"/>
      <c r="R104" s="94">
        <v>85</v>
      </c>
      <c r="S104" s="92"/>
      <c r="T104" s="92"/>
      <c r="U104" s="92"/>
      <c r="V104" s="92"/>
      <c r="W104" s="92"/>
      <c r="X104" s="92"/>
      <c r="Y104" s="92"/>
      <c r="Z104" s="129"/>
      <c r="AA104" s="129"/>
      <c r="AB104" s="129"/>
      <c r="AC104"/>
      <c r="AD104"/>
      <c r="AE104"/>
      <c r="AF104"/>
      <c r="AG104"/>
      <c r="AH104"/>
      <c r="AI104"/>
    </row>
    <row r="105" spans="3:35" s="2" customFormat="1" ht="15.95" hidden="1" customHeight="1">
      <c r="C105" s="23">
        <v>0</v>
      </c>
      <c r="D105" s="23">
        <v>0</v>
      </c>
      <c r="E105" s="47"/>
      <c r="F105" s="189"/>
      <c r="G105" s="190"/>
      <c r="H105" s="190"/>
      <c r="I105" s="191"/>
      <c r="J105" s="74">
        <v>0</v>
      </c>
      <c r="K105" s="192">
        <v>0</v>
      </c>
      <c r="L105" s="193"/>
      <c r="M105" s="80">
        <f>ROUND(oknPrice_86*oknQuantity_86,2)</f>
        <v>0</v>
      </c>
      <c r="N105" s="66">
        <f>ROUND(IF(oknTaxable_86,oknTotalNet_86*oknTax1Rate,0),2)</f>
        <v>0</v>
      </c>
      <c r="O105" s="66">
        <f>oknTotalNet_86+oknVat_86</f>
        <v>0</v>
      </c>
      <c r="P105" s="16"/>
      <c r="Q105" s="92"/>
      <c r="R105" s="94">
        <v>86</v>
      </c>
      <c r="S105" s="92"/>
      <c r="T105" s="92"/>
      <c r="U105" s="92"/>
      <c r="V105" s="92"/>
      <c r="W105" s="92"/>
      <c r="X105" s="92"/>
      <c r="Y105" s="92"/>
      <c r="Z105" s="129"/>
      <c r="AA105" s="129"/>
      <c r="AB105" s="129"/>
      <c r="AC105"/>
      <c r="AD105"/>
      <c r="AE105"/>
      <c r="AF105"/>
      <c r="AG105"/>
      <c r="AH105"/>
      <c r="AI105"/>
    </row>
    <row r="106" spans="3:35" s="2" customFormat="1" ht="15.95" hidden="1" customHeight="1">
      <c r="C106" s="23">
        <v>0</v>
      </c>
      <c r="D106" s="23">
        <v>0</v>
      </c>
      <c r="E106" s="47"/>
      <c r="F106" s="184"/>
      <c r="G106" s="185"/>
      <c r="H106" s="185"/>
      <c r="I106" s="186"/>
      <c r="J106" s="76">
        <v>0</v>
      </c>
      <c r="K106" s="187">
        <v>0</v>
      </c>
      <c r="L106" s="188"/>
      <c r="M106" s="81">
        <f>ROUND(oknPrice_87*oknQuantity_87,2)</f>
        <v>0</v>
      </c>
      <c r="N106" s="69">
        <f>ROUND(IF(oknTaxable_87,oknTotalNet_87*oknTax1Rate,0),2)</f>
        <v>0</v>
      </c>
      <c r="O106" s="69">
        <f>oknTotalNet_87+oknVat_87</f>
        <v>0</v>
      </c>
      <c r="P106" s="15"/>
      <c r="Q106" s="92"/>
      <c r="R106" s="94">
        <v>87</v>
      </c>
      <c r="S106" s="92"/>
      <c r="T106" s="92"/>
      <c r="U106" s="92"/>
      <c r="V106" s="92"/>
      <c r="W106" s="92"/>
      <c r="X106" s="92"/>
      <c r="Y106" s="92"/>
      <c r="Z106" s="129"/>
      <c r="AA106" s="129"/>
      <c r="AB106" s="129"/>
      <c r="AC106"/>
      <c r="AD106"/>
      <c r="AE106"/>
      <c r="AF106"/>
      <c r="AG106"/>
      <c r="AH106"/>
      <c r="AI106"/>
    </row>
    <row r="107" spans="3:35" s="2" customFormat="1" ht="15.95" hidden="1" customHeight="1">
      <c r="C107" s="23">
        <v>0</v>
      </c>
      <c r="D107" s="23">
        <v>0</v>
      </c>
      <c r="E107" s="47"/>
      <c r="F107" s="189"/>
      <c r="G107" s="190"/>
      <c r="H107" s="190"/>
      <c r="I107" s="191"/>
      <c r="J107" s="74">
        <v>0</v>
      </c>
      <c r="K107" s="192">
        <v>0</v>
      </c>
      <c r="L107" s="193"/>
      <c r="M107" s="80">
        <f>ROUND(oknPrice_88*oknQuantity_88,2)</f>
        <v>0</v>
      </c>
      <c r="N107" s="66">
        <f>ROUND(IF(oknTaxable_88,oknTotalNet_88*oknTax1Rate,0),2)</f>
        <v>0</v>
      </c>
      <c r="O107" s="66">
        <f>oknTotalNet_88+oknVat_88</f>
        <v>0</v>
      </c>
      <c r="P107" s="16"/>
      <c r="Q107" s="92"/>
      <c r="R107" s="94">
        <v>88</v>
      </c>
      <c r="S107" s="92"/>
      <c r="T107" s="92"/>
      <c r="U107" s="92"/>
      <c r="V107" s="92"/>
      <c r="W107" s="92"/>
      <c r="X107" s="92"/>
      <c r="Y107" s="92"/>
      <c r="Z107" s="129"/>
      <c r="AA107" s="129"/>
      <c r="AB107" s="129"/>
      <c r="AC107"/>
      <c r="AD107"/>
      <c r="AE107"/>
      <c r="AF107"/>
      <c r="AG107"/>
      <c r="AH107"/>
      <c r="AI107"/>
    </row>
    <row r="108" spans="3:35" s="2" customFormat="1" ht="15.95" hidden="1" customHeight="1">
      <c r="C108" s="23">
        <v>0</v>
      </c>
      <c r="D108" s="23">
        <v>0</v>
      </c>
      <c r="E108" s="47"/>
      <c r="F108" s="194"/>
      <c r="G108" s="195"/>
      <c r="H108" s="195"/>
      <c r="I108" s="196"/>
      <c r="J108" s="77">
        <v>0</v>
      </c>
      <c r="K108" s="197">
        <v>0</v>
      </c>
      <c r="L108" s="198"/>
      <c r="M108" s="82">
        <f>ROUND(oknPrice_89*oknQuantity_89,2)</f>
        <v>0</v>
      </c>
      <c r="N108" s="70">
        <f>ROUND(IF(oknTaxable_89,oknTotalNet_89*oknTax1Rate,0),2)</f>
        <v>0</v>
      </c>
      <c r="O108" s="70">
        <f>oknTotalNet_89+oknVat_89</f>
        <v>0</v>
      </c>
      <c r="P108" s="15"/>
      <c r="Q108" s="92"/>
      <c r="R108" s="94">
        <v>89</v>
      </c>
      <c r="S108" s="92"/>
      <c r="T108" s="92"/>
      <c r="U108" s="92"/>
      <c r="V108" s="92"/>
      <c r="W108" s="92"/>
      <c r="X108" s="92"/>
      <c r="Y108" s="92"/>
      <c r="Z108" s="129"/>
      <c r="AA108" s="129"/>
      <c r="AB108" s="129"/>
      <c r="AC108"/>
      <c r="AD108"/>
      <c r="AE108"/>
      <c r="AF108"/>
      <c r="AG108"/>
      <c r="AH108"/>
      <c r="AI108"/>
    </row>
    <row r="109" spans="3:35" s="2" customFormat="1" ht="15.95" hidden="1" customHeight="1">
      <c r="C109" s="23">
        <v>0</v>
      </c>
      <c r="D109" s="23">
        <v>0</v>
      </c>
      <c r="E109" s="47"/>
      <c r="F109" s="189"/>
      <c r="G109" s="190"/>
      <c r="H109" s="190"/>
      <c r="I109" s="191"/>
      <c r="J109" s="74">
        <v>0</v>
      </c>
      <c r="K109" s="192">
        <v>0</v>
      </c>
      <c r="L109" s="193"/>
      <c r="M109" s="80">
        <f>ROUND(oknPrice_90*oknQuantity_90,2)</f>
        <v>0</v>
      </c>
      <c r="N109" s="66">
        <f>ROUND(IF(oknTaxable_90,oknTotalNet_90*oknTax1Rate,0),2)</f>
        <v>0</v>
      </c>
      <c r="O109" s="66">
        <f>oknTotalNet_90+oknVat_90</f>
        <v>0</v>
      </c>
      <c r="P109" s="16"/>
      <c r="Q109" s="92"/>
      <c r="R109" s="94">
        <v>90</v>
      </c>
      <c r="S109" s="92"/>
      <c r="T109" s="92"/>
      <c r="U109" s="92"/>
      <c r="V109" s="92"/>
      <c r="W109" s="92"/>
      <c r="X109" s="92"/>
      <c r="Y109" s="92"/>
      <c r="Z109" s="129"/>
      <c r="AA109" s="129"/>
      <c r="AB109" s="129"/>
      <c r="AC109"/>
      <c r="AD109"/>
      <c r="AE109"/>
      <c r="AF109"/>
      <c r="AG109"/>
      <c r="AH109"/>
      <c r="AI109"/>
    </row>
    <row r="110" spans="3:35" s="2" customFormat="1" ht="15.95" hidden="1" customHeight="1">
      <c r="C110" s="23">
        <v>0</v>
      </c>
      <c r="D110" s="23">
        <v>0</v>
      </c>
      <c r="E110" s="47"/>
      <c r="F110" s="184"/>
      <c r="G110" s="185"/>
      <c r="H110" s="185"/>
      <c r="I110" s="186"/>
      <c r="J110" s="76">
        <v>0</v>
      </c>
      <c r="K110" s="187">
        <v>0</v>
      </c>
      <c r="L110" s="188"/>
      <c r="M110" s="81">
        <f>ROUND(oknPrice_91*oknQuantity_91,2)</f>
        <v>0</v>
      </c>
      <c r="N110" s="69">
        <f>ROUND(IF(oknTaxable_91,oknTotalNet_91*oknTax1Rate,0),2)</f>
        <v>0</v>
      </c>
      <c r="O110" s="69">
        <f>oknTotalNet_91+oknVat_91</f>
        <v>0</v>
      </c>
      <c r="P110" s="15"/>
      <c r="Q110" s="92"/>
      <c r="R110" s="94">
        <v>91</v>
      </c>
      <c r="S110" s="92"/>
      <c r="T110" s="92"/>
      <c r="U110" s="92"/>
      <c r="V110" s="92"/>
      <c r="W110" s="92"/>
      <c r="X110" s="92"/>
      <c r="Y110" s="92"/>
      <c r="Z110" s="129"/>
      <c r="AA110" s="129"/>
      <c r="AB110" s="129"/>
      <c r="AC110"/>
      <c r="AD110"/>
      <c r="AE110"/>
      <c r="AF110"/>
      <c r="AG110"/>
      <c r="AH110"/>
      <c r="AI110"/>
    </row>
    <row r="111" spans="3:35" s="2" customFormat="1" ht="15.95" hidden="1" customHeight="1">
      <c r="C111" s="23">
        <v>0</v>
      </c>
      <c r="D111" s="23">
        <v>0</v>
      </c>
      <c r="E111" s="47"/>
      <c r="F111" s="189"/>
      <c r="G111" s="190"/>
      <c r="H111" s="190"/>
      <c r="I111" s="191"/>
      <c r="J111" s="74">
        <v>0</v>
      </c>
      <c r="K111" s="192">
        <v>0</v>
      </c>
      <c r="L111" s="193"/>
      <c r="M111" s="80">
        <f>ROUND(oknPrice_92*oknQuantity_92,2)</f>
        <v>0</v>
      </c>
      <c r="N111" s="66">
        <f>ROUND(IF(oknTaxable_92,oknTotalNet_92*oknTax1Rate,0),2)</f>
        <v>0</v>
      </c>
      <c r="O111" s="66">
        <f>oknTotalNet_92+oknVat_92</f>
        <v>0</v>
      </c>
      <c r="P111" s="16"/>
      <c r="Q111" s="92"/>
      <c r="R111" s="94">
        <v>92</v>
      </c>
      <c r="S111" s="92"/>
      <c r="T111" s="92"/>
      <c r="U111" s="92"/>
      <c r="V111" s="92"/>
      <c r="W111" s="92"/>
      <c r="X111" s="92"/>
      <c r="Y111" s="92"/>
      <c r="Z111" s="129"/>
      <c r="AA111" s="129"/>
      <c r="AB111" s="129"/>
      <c r="AC111"/>
      <c r="AD111"/>
      <c r="AE111"/>
      <c r="AF111"/>
      <c r="AG111"/>
      <c r="AH111"/>
      <c r="AI111"/>
    </row>
    <row r="112" spans="3:35" s="2" customFormat="1" ht="15.95" hidden="1" customHeight="1">
      <c r="C112" s="23">
        <v>0</v>
      </c>
      <c r="D112" s="23">
        <v>0</v>
      </c>
      <c r="E112" s="47"/>
      <c r="F112" s="184"/>
      <c r="G112" s="185"/>
      <c r="H112" s="185"/>
      <c r="I112" s="186"/>
      <c r="J112" s="76">
        <v>0</v>
      </c>
      <c r="K112" s="187">
        <v>0</v>
      </c>
      <c r="L112" s="188"/>
      <c r="M112" s="81">
        <f>ROUND(oknPrice_93*oknQuantity_93,2)</f>
        <v>0</v>
      </c>
      <c r="N112" s="69">
        <f>ROUND(IF(oknTaxable_93,oknTotalNet_93*oknTax1Rate,0),2)</f>
        <v>0</v>
      </c>
      <c r="O112" s="69">
        <f>oknTotalNet_93+oknVat_93</f>
        <v>0</v>
      </c>
      <c r="P112" s="15"/>
      <c r="Q112" s="92"/>
      <c r="R112" s="94">
        <v>93</v>
      </c>
      <c r="S112" s="92"/>
      <c r="T112" s="92"/>
      <c r="U112" s="92"/>
      <c r="V112" s="92"/>
      <c r="W112" s="92"/>
      <c r="X112" s="92"/>
      <c r="Y112" s="92"/>
      <c r="Z112" s="129"/>
      <c r="AA112" s="129"/>
      <c r="AB112" s="129"/>
      <c r="AC112"/>
      <c r="AD112"/>
      <c r="AE112"/>
      <c r="AF112"/>
      <c r="AG112"/>
      <c r="AH112"/>
      <c r="AI112"/>
    </row>
    <row r="113" spans="1:35" s="2" customFormat="1" ht="15.95" hidden="1" customHeight="1">
      <c r="C113" s="23">
        <v>0</v>
      </c>
      <c r="D113" s="23">
        <v>0</v>
      </c>
      <c r="E113" s="47"/>
      <c r="F113" s="189"/>
      <c r="G113" s="190"/>
      <c r="H113" s="190"/>
      <c r="I113" s="191"/>
      <c r="J113" s="74">
        <v>0</v>
      </c>
      <c r="K113" s="192">
        <v>0</v>
      </c>
      <c r="L113" s="193"/>
      <c r="M113" s="80">
        <f>ROUND(oknPrice_94*oknQuantity_94,2)</f>
        <v>0</v>
      </c>
      <c r="N113" s="66">
        <f>ROUND(IF(oknTaxable_94,oknTotalNet_94*oknTax1Rate,0),2)</f>
        <v>0</v>
      </c>
      <c r="O113" s="66">
        <f>oknTotalNet_94+oknVat_94</f>
        <v>0</v>
      </c>
      <c r="P113" s="16"/>
      <c r="Q113" s="92"/>
      <c r="R113" s="94">
        <v>94</v>
      </c>
      <c r="S113" s="92"/>
      <c r="T113" s="92"/>
      <c r="U113" s="92"/>
      <c r="V113" s="92"/>
      <c r="W113" s="92"/>
      <c r="X113" s="92"/>
      <c r="Y113" s="92"/>
      <c r="Z113" s="129"/>
      <c r="AA113" s="129"/>
      <c r="AB113" s="129"/>
      <c r="AC113"/>
      <c r="AD113"/>
      <c r="AE113"/>
      <c r="AF113"/>
      <c r="AG113"/>
      <c r="AH113"/>
      <c r="AI113"/>
    </row>
    <row r="114" spans="1:35" s="2" customFormat="1" ht="15.95" hidden="1" customHeight="1">
      <c r="C114" s="23">
        <v>0</v>
      </c>
      <c r="D114" s="23">
        <v>0</v>
      </c>
      <c r="E114" s="47"/>
      <c r="F114" s="184"/>
      <c r="G114" s="185"/>
      <c r="H114" s="185"/>
      <c r="I114" s="186"/>
      <c r="J114" s="76">
        <v>0</v>
      </c>
      <c r="K114" s="187">
        <v>0</v>
      </c>
      <c r="L114" s="188"/>
      <c r="M114" s="81">
        <f>ROUND(oknPrice_95*oknQuantity_95,2)</f>
        <v>0</v>
      </c>
      <c r="N114" s="69">
        <f>ROUND(IF(oknTaxable_95,oknTotalNet_95*oknTax1Rate,0),2)</f>
        <v>0</v>
      </c>
      <c r="O114" s="69">
        <f>oknTotalNet_95+oknVat_95</f>
        <v>0</v>
      </c>
      <c r="P114" s="15"/>
      <c r="Q114" s="92"/>
      <c r="R114" s="94">
        <v>95</v>
      </c>
      <c r="S114" s="92"/>
      <c r="T114" s="92"/>
      <c r="U114" s="92"/>
      <c r="V114" s="92"/>
      <c r="W114" s="92"/>
      <c r="X114" s="92"/>
      <c r="Y114" s="92"/>
      <c r="Z114" s="129"/>
      <c r="AA114" s="129"/>
      <c r="AB114" s="129"/>
      <c r="AC114"/>
      <c r="AD114"/>
      <c r="AE114"/>
      <c r="AF114"/>
      <c r="AG114"/>
      <c r="AH114"/>
      <c r="AI114"/>
    </row>
    <row r="115" spans="1:35" s="2" customFormat="1" ht="15.95" hidden="1" customHeight="1">
      <c r="C115" s="23">
        <v>0</v>
      </c>
      <c r="D115" s="23">
        <v>0</v>
      </c>
      <c r="E115" s="47"/>
      <c r="F115" s="189"/>
      <c r="G115" s="190"/>
      <c r="H115" s="190"/>
      <c r="I115" s="191"/>
      <c r="J115" s="74">
        <v>0</v>
      </c>
      <c r="K115" s="192">
        <v>0</v>
      </c>
      <c r="L115" s="193"/>
      <c r="M115" s="80">
        <f>ROUND(oknPrice_96*oknQuantity_96,2)</f>
        <v>0</v>
      </c>
      <c r="N115" s="66">
        <f>ROUND(IF(oknTaxable_96,oknTotalNet_96*oknTax1Rate,0),2)</f>
        <v>0</v>
      </c>
      <c r="O115" s="66">
        <f>oknTotalNet_96+oknVat_96</f>
        <v>0</v>
      </c>
      <c r="P115" s="16"/>
      <c r="Q115" s="92"/>
      <c r="R115" s="94">
        <v>96</v>
      </c>
      <c r="S115" s="92"/>
      <c r="T115" s="92"/>
      <c r="U115" s="92"/>
      <c r="V115" s="92"/>
      <c r="W115" s="92"/>
      <c r="X115" s="92"/>
      <c r="Y115" s="92"/>
      <c r="Z115" s="129"/>
      <c r="AA115" s="129"/>
      <c r="AB115" s="129"/>
      <c r="AC115"/>
      <c r="AD115"/>
      <c r="AE115"/>
      <c r="AF115"/>
      <c r="AG115"/>
      <c r="AH115"/>
      <c r="AI115"/>
    </row>
    <row r="116" spans="1:35" s="2" customFormat="1" ht="15.95" hidden="1" customHeight="1">
      <c r="C116" s="23">
        <v>0</v>
      </c>
      <c r="D116" s="23">
        <v>0</v>
      </c>
      <c r="E116" s="47"/>
      <c r="F116" s="184"/>
      <c r="G116" s="185"/>
      <c r="H116" s="185"/>
      <c r="I116" s="186"/>
      <c r="J116" s="76">
        <v>0</v>
      </c>
      <c r="K116" s="187">
        <v>0</v>
      </c>
      <c r="L116" s="188"/>
      <c r="M116" s="81">
        <f>ROUND(oknPrice_97*oknQuantity_97,2)</f>
        <v>0</v>
      </c>
      <c r="N116" s="69">
        <f>ROUND(IF(oknTaxable_97,oknTotalNet_97*oknTax1Rate,0),2)</f>
        <v>0</v>
      </c>
      <c r="O116" s="69">
        <f>oknTotalNet_97+oknVat_97</f>
        <v>0</v>
      </c>
      <c r="P116" s="15"/>
      <c r="Q116" s="92"/>
      <c r="R116" s="94">
        <v>97</v>
      </c>
      <c r="S116" s="92"/>
      <c r="T116" s="92"/>
      <c r="U116" s="92"/>
      <c r="V116" s="92"/>
      <c r="W116" s="92"/>
      <c r="X116" s="92"/>
      <c r="Y116" s="92"/>
      <c r="Z116" s="129"/>
      <c r="AA116" s="129"/>
      <c r="AB116" s="129"/>
      <c r="AC116"/>
      <c r="AD116"/>
      <c r="AE116"/>
      <c r="AF116"/>
      <c r="AG116"/>
      <c r="AH116"/>
      <c r="AI116"/>
    </row>
    <row r="117" spans="1:35" s="2" customFormat="1" ht="15.95" hidden="1" customHeight="1">
      <c r="C117" s="23">
        <v>0</v>
      </c>
      <c r="D117" s="23">
        <v>0</v>
      </c>
      <c r="E117" s="47"/>
      <c r="F117" s="189"/>
      <c r="G117" s="190"/>
      <c r="H117" s="190"/>
      <c r="I117" s="191"/>
      <c r="J117" s="74">
        <v>0</v>
      </c>
      <c r="K117" s="192">
        <v>0</v>
      </c>
      <c r="L117" s="193"/>
      <c r="M117" s="80">
        <f>ROUND(oknPrice_98*oknQuantity_98,2)</f>
        <v>0</v>
      </c>
      <c r="N117" s="66">
        <f>ROUND(IF(oknTaxable_98,oknTotalNet_98*oknTax1Rate,0),2)</f>
        <v>0</v>
      </c>
      <c r="O117" s="66">
        <f>oknTotalNet_98+oknVat_98</f>
        <v>0</v>
      </c>
      <c r="P117" s="16"/>
      <c r="Q117" s="92"/>
      <c r="R117" s="94">
        <v>98</v>
      </c>
      <c r="S117" s="92"/>
      <c r="T117" s="92"/>
      <c r="U117" s="92"/>
      <c r="V117" s="92"/>
      <c r="W117" s="92"/>
      <c r="X117" s="92"/>
      <c r="Y117" s="92"/>
      <c r="Z117" s="129"/>
      <c r="AA117" s="129"/>
      <c r="AB117" s="129"/>
      <c r="AC117"/>
      <c r="AD117"/>
      <c r="AE117"/>
      <c r="AF117"/>
      <c r="AG117"/>
      <c r="AH117"/>
      <c r="AI117"/>
    </row>
    <row r="118" spans="1:35" s="2" customFormat="1" ht="15.95" hidden="1" customHeight="1">
      <c r="C118" s="23">
        <v>0</v>
      </c>
      <c r="D118" s="23">
        <v>0</v>
      </c>
      <c r="E118" s="47"/>
      <c r="F118" s="184"/>
      <c r="G118" s="185"/>
      <c r="H118" s="185"/>
      <c r="I118" s="186"/>
      <c r="J118" s="76">
        <v>0</v>
      </c>
      <c r="K118" s="187">
        <v>0</v>
      </c>
      <c r="L118" s="188"/>
      <c r="M118" s="81">
        <f>ROUND(oknPrice_99*oknQuantity_99,2)</f>
        <v>0</v>
      </c>
      <c r="N118" s="69">
        <f>ROUND(IF(oknTaxable_99,oknTotalNet_99*oknTax1Rate,0),2)</f>
        <v>0</v>
      </c>
      <c r="O118" s="69">
        <f>oknTotalNet_99+oknVat_99</f>
        <v>0</v>
      </c>
      <c r="P118" s="15"/>
      <c r="Q118" s="92"/>
      <c r="R118" s="94">
        <v>99</v>
      </c>
      <c r="S118" s="92"/>
      <c r="T118" s="92"/>
      <c r="U118" s="92"/>
      <c r="V118" s="92"/>
      <c r="W118" s="92"/>
      <c r="X118" s="92"/>
      <c r="Y118" s="92"/>
      <c r="Z118" s="129"/>
      <c r="AA118" s="129"/>
      <c r="AB118" s="129"/>
      <c r="AC118"/>
      <c r="AD118"/>
      <c r="AE118"/>
      <c r="AF118"/>
      <c r="AG118"/>
      <c r="AH118"/>
      <c r="AI118"/>
    </row>
    <row r="119" spans="1:35" s="2" customFormat="1" ht="15.95" hidden="1" customHeight="1">
      <c r="C119" s="23">
        <v>0</v>
      </c>
      <c r="D119" s="23">
        <v>0</v>
      </c>
      <c r="E119" s="47"/>
      <c r="F119" s="189"/>
      <c r="G119" s="190"/>
      <c r="H119" s="190"/>
      <c r="I119" s="191"/>
      <c r="J119" s="74">
        <v>0</v>
      </c>
      <c r="K119" s="192">
        <v>0</v>
      </c>
      <c r="L119" s="193"/>
      <c r="M119" s="80">
        <f>ROUND(oknPrice_100*oknQuantity_100,2)</f>
        <v>0</v>
      </c>
      <c r="N119" s="66">
        <f>ROUND(IF(oknTaxable_100,oknTotalNet_100*oknTax1Rate,0),2)</f>
        <v>0</v>
      </c>
      <c r="O119" s="66">
        <f>oknTotalNet_100+oknVat_100</f>
        <v>0</v>
      </c>
      <c r="P119" s="16"/>
      <c r="Q119" s="92"/>
      <c r="R119" s="94">
        <v>100</v>
      </c>
      <c r="S119" s="92"/>
      <c r="T119" s="92"/>
      <c r="U119" s="92"/>
      <c r="V119" s="92"/>
      <c r="W119" s="92"/>
      <c r="X119" s="92"/>
      <c r="Y119" s="92"/>
      <c r="Z119" s="129"/>
      <c r="AA119" s="129"/>
      <c r="AB119" s="129"/>
      <c r="AC119"/>
      <c r="AD119"/>
      <c r="AE119"/>
      <c r="AF119"/>
      <c r="AG119"/>
      <c r="AH119"/>
      <c r="AI119"/>
    </row>
    <row r="120" spans="1:35" s="2" customFormat="1" ht="15.95" hidden="1" customHeight="1">
      <c r="C120" s="23">
        <v>0</v>
      </c>
      <c r="D120" s="23">
        <v>0</v>
      </c>
      <c r="E120" s="47"/>
      <c r="F120" s="184"/>
      <c r="G120" s="185"/>
      <c r="H120" s="185"/>
      <c r="I120" s="186"/>
      <c r="J120" s="76">
        <v>0</v>
      </c>
      <c r="K120" s="187">
        <v>0</v>
      </c>
      <c r="L120" s="188"/>
      <c r="M120" s="81">
        <f>ROUND(oknPrice_101*oknQuantity_101,2)</f>
        <v>0</v>
      </c>
      <c r="N120" s="69">
        <f>ROUND(IF(oknTaxable_101,oknTotalNet_101*oknTax1Rate,0),2)</f>
        <v>0</v>
      </c>
      <c r="O120" s="69">
        <f>oknTotalNet_101+oknVat_101</f>
        <v>0</v>
      </c>
      <c r="P120" s="15"/>
      <c r="Q120" s="92"/>
      <c r="R120" s="94">
        <v>101</v>
      </c>
      <c r="S120" s="92"/>
      <c r="T120" s="92"/>
      <c r="U120" s="92"/>
      <c r="V120" s="92"/>
      <c r="W120" s="92"/>
      <c r="X120" s="92"/>
      <c r="Y120" s="92"/>
      <c r="Z120" s="129"/>
      <c r="AA120" s="129"/>
      <c r="AB120" s="129"/>
      <c r="AC120"/>
      <c r="AD120"/>
      <c r="AE120"/>
      <c r="AF120"/>
      <c r="AG120"/>
      <c r="AH120"/>
      <c r="AI120"/>
    </row>
    <row r="121" spans="1:35" s="2" customFormat="1" ht="15.95" hidden="1" customHeight="1">
      <c r="C121" s="23">
        <v>0</v>
      </c>
      <c r="D121" s="23">
        <v>0</v>
      </c>
      <c r="E121" s="47"/>
      <c r="F121" s="189"/>
      <c r="G121" s="190"/>
      <c r="H121" s="190"/>
      <c r="I121" s="191"/>
      <c r="J121" s="74">
        <v>0</v>
      </c>
      <c r="K121" s="192">
        <v>0</v>
      </c>
      <c r="L121" s="193"/>
      <c r="M121" s="80">
        <f>ROUND(oknPrice_102*oknQuantity_102,2)</f>
        <v>0</v>
      </c>
      <c r="N121" s="66">
        <f>ROUND(IF(oknTaxable_102,oknTotalNet_102*oknTax1Rate,0),2)</f>
        <v>0</v>
      </c>
      <c r="O121" s="66">
        <f>oknTotalNet_102+oknVat_102</f>
        <v>0</v>
      </c>
      <c r="P121" s="16"/>
      <c r="Q121" s="92"/>
      <c r="R121" s="94">
        <v>102</v>
      </c>
      <c r="S121" s="92"/>
      <c r="T121" s="92"/>
      <c r="U121" s="92"/>
      <c r="V121" s="92"/>
      <c r="W121" s="92"/>
      <c r="X121" s="92"/>
      <c r="Y121" s="92"/>
      <c r="Z121" s="129"/>
      <c r="AA121" s="129"/>
      <c r="AB121" s="129"/>
      <c r="AC121"/>
      <c r="AD121"/>
      <c r="AE121"/>
      <c r="AF121"/>
      <c r="AG121"/>
      <c r="AH121"/>
      <c r="AI121"/>
    </row>
    <row r="122" spans="1:35" s="2" customFormat="1" ht="15.95" hidden="1" customHeight="1">
      <c r="C122" s="23">
        <v>0</v>
      </c>
      <c r="D122" s="23">
        <v>0</v>
      </c>
      <c r="E122" s="47"/>
      <c r="F122" s="184"/>
      <c r="G122" s="185"/>
      <c r="H122" s="185"/>
      <c r="I122" s="186"/>
      <c r="J122" s="76">
        <v>0</v>
      </c>
      <c r="K122" s="187">
        <v>0</v>
      </c>
      <c r="L122" s="188"/>
      <c r="M122" s="81">
        <f>ROUND(oknPrice_103*oknQuantity_103,2)</f>
        <v>0</v>
      </c>
      <c r="N122" s="69">
        <f>ROUND(IF(oknTaxable_103,oknTotalNet_103*oknTax1Rate,0),2)</f>
        <v>0</v>
      </c>
      <c r="O122" s="69">
        <f>oknTotalNet_103+oknVat_103</f>
        <v>0</v>
      </c>
      <c r="P122" s="15"/>
      <c r="Q122" s="92"/>
      <c r="R122" s="94">
        <v>103</v>
      </c>
      <c r="S122" s="92"/>
      <c r="T122" s="92"/>
      <c r="U122" s="92"/>
      <c r="V122" s="92"/>
      <c r="W122" s="92"/>
      <c r="X122" s="92"/>
      <c r="Y122" s="92"/>
      <c r="Z122" s="129"/>
      <c r="AA122" s="129"/>
      <c r="AB122" s="129"/>
      <c r="AC122"/>
      <c r="AD122"/>
      <c r="AE122"/>
      <c r="AF122"/>
      <c r="AG122"/>
      <c r="AH122"/>
      <c r="AI122"/>
    </row>
    <row r="123" spans="1:35" s="2" customFormat="1" ht="15.95" hidden="1" customHeight="1">
      <c r="C123" s="23">
        <v>0</v>
      </c>
      <c r="D123" s="23">
        <v>0</v>
      </c>
      <c r="E123" s="47"/>
      <c r="F123" s="189"/>
      <c r="G123" s="190"/>
      <c r="H123" s="190"/>
      <c r="I123" s="191"/>
      <c r="J123" s="74">
        <v>0</v>
      </c>
      <c r="K123" s="192">
        <v>0</v>
      </c>
      <c r="L123" s="193"/>
      <c r="M123" s="80">
        <f>ROUND(oknPrice_104*oknQuantity_104,2)</f>
        <v>0</v>
      </c>
      <c r="N123" s="66">
        <f>ROUND(IF(oknTaxable_104,oknTotalNet_104*oknTax1Rate,0),2)</f>
        <v>0</v>
      </c>
      <c r="O123" s="66">
        <f>oknTotalNet_104+oknVat_104</f>
        <v>0</v>
      </c>
      <c r="P123" s="16"/>
      <c r="Q123" s="92"/>
      <c r="R123" s="94">
        <v>104</v>
      </c>
      <c r="S123" s="92"/>
      <c r="T123" s="92"/>
      <c r="U123" s="92"/>
      <c r="V123" s="92"/>
      <c r="W123" s="92"/>
      <c r="X123" s="92"/>
      <c r="Y123" s="92"/>
      <c r="Z123" s="129"/>
      <c r="AA123" s="129"/>
      <c r="AB123" s="129"/>
      <c r="AC123"/>
      <c r="AD123"/>
      <c r="AE123"/>
      <c r="AF123"/>
      <c r="AG123"/>
      <c r="AH123"/>
      <c r="AI123"/>
    </row>
    <row r="124" spans="1:35" s="2" customFormat="1" ht="15.95" hidden="1" customHeight="1">
      <c r="C124" s="23">
        <v>0</v>
      </c>
      <c r="D124" s="23">
        <v>0</v>
      </c>
      <c r="E124" s="47"/>
      <c r="F124" s="184"/>
      <c r="G124" s="185"/>
      <c r="H124" s="185"/>
      <c r="I124" s="186"/>
      <c r="J124" s="76">
        <v>0</v>
      </c>
      <c r="K124" s="187">
        <v>0</v>
      </c>
      <c r="L124" s="188"/>
      <c r="M124" s="81">
        <f>ROUND(oknPrice_105*oknQuantity_105,2)</f>
        <v>0</v>
      </c>
      <c r="N124" s="69">
        <f>ROUND(IF(oknTaxable_105,oknTotalNet_105*oknTax1Rate,0),2)</f>
        <v>0</v>
      </c>
      <c r="O124" s="69">
        <f>oknTotalNet_105+oknVat_105</f>
        <v>0</v>
      </c>
      <c r="P124" s="15"/>
      <c r="Q124" s="92"/>
      <c r="R124" s="94">
        <v>105</v>
      </c>
      <c r="S124" s="92"/>
      <c r="T124" s="92"/>
      <c r="U124" s="92"/>
      <c r="V124" s="92"/>
      <c r="W124" s="92"/>
      <c r="X124" s="92"/>
      <c r="Y124" s="92"/>
      <c r="Z124" s="129"/>
      <c r="AA124" s="129"/>
      <c r="AB124" s="129"/>
      <c r="AC124"/>
      <c r="AD124"/>
      <c r="AE124"/>
      <c r="AF124"/>
      <c r="AG124"/>
      <c r="AH124"/>
      <c r="AI124"/>
    </row>
    <row r="125" spans="1:35" s="2" customFormat="1" ht="15.95" hidden="1" customHeight="1">
      <c r="C125" s="23">
        <v>0</v>
      </c>
      <c r="D125" s="23">
        <v>0</v>
      </c>
      <c r="E125" s="47"/>
      <c r="F125" s="189"/>
      <c r="G125" s="190"/>
      <c r="H125" s="190"/>
      <c r="I125" s="191"/>
      <c r="J125" s="74">
        <v>0</v>
      </c>
      <c r="K125" s="192">
        <v>0</v>
      </c>
      <c r="L125" s="193"/>
      <c r="M125" s="80">
        <f>ROUND(oknPrice_106*oknQuantity_106,2)</f>
        <v>0</v>
      </c>
      <c r="N125" s="66">
        <f>ROUND(IF(oknTaxable_106,oknTotalNet_106*oknTax1Rate,0),2)</f>
        <v>0</v>
      </c>
      <c r="O125" s="66">
        <f>oknTotalNet_106+oknVat_106</f>
        <v>0</v>
      </c>
      <c r="P125" s="16"/>
      <c r="Q125" s="92"/>
      <c r="R125" s="94">
        <v>106</v>
      </c>
      <c r="S125" s="92"/>
      <c r="T125" s="92"/>
      <c r="U125" s="92"/>
      <c r="V125" s="92"/>
      <c r="W125" s="92"/>
      <c r="X125" s="92"/>
      <c r="Y125" s="92"/>
      <c r="Z125" s="129"/>
      <c r="AA125" s="129"/>
      <c r="AB125" s="129"/>
      <c r="AC125"/>
      <c r="AD125"/>
      <c r="AE125"/>
      <c r="AF125"/>
      <c r="AG125"/>
      <c r="AH125"/>
      <c r="AI125"/>
    </row>
    <row r="126" spans="1:35" s="2" customFormat="1" ht="15.95" hidden="1" customHeight="1">
      <c r="C126" s="23">
        <v>0</v>
      </c>
      <c r="D126" s="23">
        <v>0</v>
      </c>
      <c r="E126" s="47"/>
      <c r="F126" s="184"/>
      <c r="G126" s="185"/>
      <c r="H126" s="185"/>
      <c r="I126" s="186"/>
      <c r="J126" s="76">
        <v>0</v>
      </c>
      <c r="K126" s="187">
        <v>0</v>
      </c>
      <c r="L126" s="188"/>
      <c r="M126" s="81">
        <f>ROUND(oknPrice_107*oknQuantity_107,2)</f>
        <v>0</v>
      </c>
      <c r="N126" s="69">
        <f>ROUND(IF(oknTaxable_107,oknTotalNet_107*oknTax1Rate,0),2)</f>
        <v>0</v>
      </c>
      <c r="O126" s="69">
        <f>oknTotalNet_107+oknVat_107</f>
        <v>0</v>
      </c>
      <c r="P126" s="15"/>
      <c r="Q126" s="92"/>
      <c r="R126" s="94">
        <v>107</v>
      </c>
      <c r="S126" s="92"/>
      <c r="T126" s="92"/>
      <c r="U126" s="92"/>
      <c r="V126" s="92"/>
      <c r="W126" s="92"/>
      <c r="X126" s="92"/>
      <c r="Y126" s="92"/>
      <c r="Z126" s="129"/>
      <c r="AA126" s="129"/>
      <c r="AB126" s="129"/>
      <c r="AC126"/>
      <c r="AD126"/>
      <c r="AE126"/>
      <c r="AF126"/>
      <c r="AG126"/>
      <c r="AH126"/>
      <c r="AI126"/>
    </row>
    <row r="127" spans="1:35" s="2" customFormat="1" ht="15.95" hidden="1" customHeight="1">
      <c r="C127" s="23">
        <v>0</v>
      </c>
      <c r="D127" s="23">
        <v>0</v>
      </c>
      <c r="E127" s="47"/>
      <c r="F127" s="199"/>
      <c r="G127" s="200"/>
      <c r="H127" s="200"/>
      <c r="I127" s="201"/>
      <c r="J127" s="78">
        <v>0</v>
      </c>
      <c r="K127" s="202">
        <v>0</v>
      </c>
      <c r="L127" s="203"/>
      <c r="M127" s="83">
        <f>ROUND(oknPrice_108*oknQuantity_108,2)</f>
        <v>0</v>
      </c>
      <c r="N127" s="68">
        <f>ROUND(IF(oknTaxable_108,oknTotalNet_108*oknTax1Rate,0),2)</f>
        <v>0</v>
      </c>
      <c r="O127" s="68">
        <f>oknTotalNet_108+oknVat_108</f>
        <v>0</v>
      </c>
      <c r="P127" s="16"/>
      <c r="Q127" s="92"/>
      <c r="R127" s="94">
        <v>108</v>
      </c>
      <c r="S127" s="92"/>
      <c r="T127" s="92"/>
      <c r="U127" s="92"/>
      <c r="V127" s="92"/>
      <c r="W127" s="92"/>
      <c r="X127" s="92"/>
      <c r="Y127" s="92"/>
      <c r="Z127" s="129"/>
      <c r="AA127" s="129"/>
      <c r="AB127" s="129"/>
      <c r="AC127"/>
      <c r="AD127"/>
      <c r="AE127"/>
      <c r="AF127"/>
      <c r="AG127"/>
      <c r="AH127"/>
      <c r="AI127"/>
    </row>
    <row r="128" spans="1:35" s="2" customFormat="1" ht="18" customHeight="1">
      <c r="A128" s="62"/>
      <c r="B128" s="62"/>
      <c r="C128" s="22"/>
      <c r="D128" s="32">
        <f t="array" ref="D128">SUM(oknTaxable_1:oknTaxable_108*oknLineTotal_1:oknLineTotal_108)</f>
        <v>0</v>
      </c>
      <c r="E128" s="47"/>
      <c r="F128" s="3"/>
      <c r="G128" s="3"/>
      <c r="H128" s="3"/>
      <c r="I128" s="3"/>
      <c r="J128" s="3"/>
      <c r="K128" s="3"/>
      <c r="M128" s="4" t="s">
        <v>74</v>
      </c>
      <c r="N128" s="4"/>
      <c r="O128" s="38">
        <f>SUM(oknVat_1:oknVat_108)</f>
        <v>0</v>
      </c>
      <c r="P128" s="15"/>
      <c r="Q128" s="92"/>
      <c r="R128" s="95"/>
      <c r="S128" s="92"/>
      <c r="T128" s="92"/>
      <c r="U128" s="92"/>
      <c r="V128" s="92"/>
      <c r="W128" s="92"/>
      <c r="X128" s="92"/>
      <c r="Y128" s="92"/>
      <c r="Z128" s="129"/>
      <c r="AA128" s="129"/>
      <c r="AB128" s="129"/>
      <c r="AC128"/>
      <c r="AD128"/>
      <c r="AE128"/>
      <c r="AF128"/>
      <c r="AG128"/>
      <c r="AH128"/>
      <c r="AI128"/>
    </row>
    <row r="129" spans="1:35" s="2" customFormat="1" ht="18" customHeight="1">
      <c r="A129" s="62"/>
      <c r="B129" s="62"/>
      <c r="C129" s="22"/>
      <c r="D129" s="22"/>
      <c r="E129" s="47"/>
      <c r="F129" s="3"/>
      <c r="G129" s="3"/>
      <c r="H129" s="3"/>
      <c r="I129" s="3"/>
      <c r="J129" s="3"/>
      <c r="K129" s="3"/>
      <c r="M129" s="72" t="s">
        <v>72</v>
      </c>
      <c r="N129" s="72"/>
      <c r="O129" s="39">
        <v>0</v>
      </c>
      <c r="P129" s="15"/>
      <c r="Q129" s="92"/>
      <c r="R129" s="95"/>
      <c r="S129" s="92"/>
      <c r="T129" s="92"/>
      <c r="U129" s="92"/>
      <c r="V129" s="92"/>
      <c r="W129" s="92"/>
      <c r="X129" s="92"/>
      <c r="Y129" s="92"/>
      <c r="Z129" s="129"/>
      <c r="AA129" s="129"/>
      <c r="AB129" s="129"/>
      <c r="AC129"/>
      <c r="AD129"/>
      <c r="AE129"/>
      <c r="AF129"/>
      <c r="AG129"/>
      <c r="AH129"/>
      <c r="AI129"/>
    </row>
    <row r="130" spans="1:35" s="2" customFormat="1" ht="20.100000000000001" hidden="1" customHeight="1">
      <c r="A130" s="62"/>
      <c r="B130" s="62"/>
      <c r="C130" s="22"/>
      <c r="D130" s="22"/>
      <c r="E130" s="47"/>
      <c r="F130" s="3"/>
      <c r="G130" s="3"/>
      <c r="H130" s="3"/>
      <c r="I130" s="3"/>
      <c r="J130" s="3"/>
      <c r="K130" s="3"/>
      <c r="L130" s="120" t="s">
        <v>51</v>
      </c>
      <c r="M130" s="33">
        <v>3.2000000000000001E-2</v>
      </c>
      <c r="N130" s="33"/>
      <c r="O130" s="38">
        <f>ROUND(IF(oknTaxType&lt;&gt;2,0,oknTax2Rate*(oknLineTotalTaxable+IF(oknTaxTotalIncludingShippingCost=0,0,oknShippingCost)+IF(oknTax2IsAppliedToTax1=0,0,oknTax1))),2)</f>
        <v>0</v>
      </c>
      <c r="P130" s="17"/>
      <c r="Q130" s="92"/>
      <c r="R130" s="95"/>
      <c r="S130" s="92"/>
      <c r="T130" s="92"/>
      <c r="U130" s="92"/>
      <c r="V130" s="92"/>
      <c r="W130" s="92"/>
      <c r="X130" s="92"/>
      <c r="Y130" s="92"/>
      <c r="Z130" s="129"/>
      <c r="AA130" s="129"/>
      <c r="AB130" s="129"/>
      <c r="AC130"/>
      <c r="AD130"/>
      <c r="AE130"/>
      <c r="AF130"/>
      <c r="AG130"/>
      <c r="AH130"/>
      <c r="AI130"/>
    </row>
    <row r="131" spans="1:35" s="2" customFormat="1" ht="18" customHeight="1">
      <c r="A131" s="62"/>
      <c r="B131" s="62"/>
      <c r="C131" s="22"/>
      <c r="D131" s="22"/>
      <c r="E131" s="47"/>
      <c r="F131" s="3"/>
      <c r="G131" s="3"/>
      <c r="H131" s="3"/>
      <c r="I131" s="3"/>
      <c r="J131" s="3"/>
      <c r="K131" s="3"/>
      <c r="L131" s="120" t="s">
        <v>51</v>
      </c>
      <c r="M131" s="33">
        <v>7.0000000000000007E-2</v>
      </c>
      <c r="N131" s="33"/>
      <c r="O131" s="38">
        <f>SUM(oknVat_1:oknVat_108)+ROUND(oknShippingCost*oknTax1Rate,2)</f>
        <v>0</v>
      </c>
      <c r="P131" s="18"/>
      <c r="Q131" s="92"/>
      <c r="R131" s="95"/>
      <c r="S131" s="92"/>
      <c r="T131" s="92"/>
      <c r="U131" s="92"/>
      <c r="V131" s="92"/>
      <c r="W131" s="92"/>
      <c r="X131" s="92"/>
      <c r="Y131" s="92"/>
      <c r="Z131" s="129"/>
      <c r="AA131" s="129"/>
      <c r="AB131" s="129"/>
      <c r="AC131"/>
      <c r="AD131"/>
      <c r="AE131"/>
      <c r="AF131"/>
      <c r="AG131"/>
      <c r="AH131"/>
      <c r="AI131"/>
    </row>
    <row r="132" spans="1:35" s="2" customFormat="1" ht="18" customHeight="1">
      <c r="A132" s="62"/>
      <c r="B132" s="62"/>
      <c r="C132" s="22"/>
      <c r="D132" s="22"/>
      <c r="E132" s="47"/>
      <c r="M132" s="5" t="s">
        <v>3</v>
      </c>
      <c r="N132" s="5"/>
      <c r="O132" s="40">
        <f>oknSubTotal+oknTax1+oknShippingCost</f>
        <v>0</v>
      </c>
      <c r="P132" s="15"/>
      <c r="Q132" s="92"/>
      <c r="R132" s="95"/>
      <c r="S132" s="92"/>
      <c r="T132" s="92"/>
      <c r="U132" s="92"/>
      <c r="V132" s="92"/>
      <c r="W132" s="92"/>
      <c r="X132" s="92"/>
      <c r="Y132" s="92"/>
      <c r="Z132" s="129"/>
      <c r="AA132" s="129"/>
      <c r="AB132" s="129"/>
      <c r="AC132"/>
      <c r="AD132"/>
      <c r="AE132"/>
      <c r="AF132"/>
      <c r="AG132"/>
      <c r="AH132"/>
      <c r="AI132"/>
    </row>
    <row r="133" spans="1:35" ht="18" customHeight="1">
      <c r="M133" s="5" t="s">
        <v>10</v>
      </c>
      <c r="N133" s="5"/>
      <c r="O133" s="41">
        <v>0</v>
      </c>
    </row>
    <row r="134" spans="1:35" ht="18" customHeight="1">
      <c r="M134" s="5" t="s">
        <v>9</v>
      </c>
      <c r="N134" s="5"/>
      <c r="O134" s="42">
        <f>oknTotal-oknPayments</f>
        <v>0</v>
      </c>
    </row>
    <row r="135" spans="1:35" hidden="1"/>
    <row r="136" spans="1:35" ht="18" hidden="1" customHeight="1"/>
    <row r="138" spans="1:35">
      <c r="F138" s="208" t="s">
        <v>83</v>
      </c>
      <c r="G138" s="208"/>
      <c r="H138" s="208"/>
      <c r="I138" s="208"/>
      <c r="J138" s="208"/>
      <c r="K138" s="208"/>
      <c r="L138" s="208"/>
      <c r="M138" s="208"/>
      <c r="N138" s="208"/>
      <c r="O138" s="208"/>
    </row>
    <row r="139" spans="1:35" s="6" customFormat="1">
      <c r="A139" s="63"/>
      <c r="B139" s="63"/>
      <c r="C139" s="28"/>
      <c r="D139" s="28"/>
      <c r="E139" s="45"/>
      <c r="F139" s="207" t="s">
        <v>95</v>
      </c>
      <c r="G139" s="207"/>
      <c r="H139" s="207"/>
      <c r="I139" s="207"/>
      <c r="J139" s="207"/>
      <c r="K139" s="207"/>
      <c r="L139" s="207"/>
      <c r="M139" s="207"/>
      <c r="N139" s="207"/>
      <c r="O139" s="207"/>
      <c r="P139" s="19"/>
      <c r="Q139" s="97"/>
      <c r="R139" s="98"/>
      <c r="S139" s="97"/>
      <c r="T139" s="97"/>
      <c r="U139" s="97"/>
      <c r="V139" s="97"/>
      <c r="W139" s="97"/>
      <c r="X139" s="97"/>
      <c r="Y139" s="97"/>
      <c r="Z139" s="19"/>
      <c r="AA139" s="19"/>
      <c r="AB139" s="19"/>
      <c r="AC139"/>
      <c r="AD139"/>
      <c r="AE139"/>
      <c r="AF139"/>
      <c r="AG139"/>
      <c r="AH139"/>
      <c r="AI139"/>
    </row>
    <row r="140" spans="1:35">
      <c r="J140" s="1"/>
    </row>
    <row r="926" spans="1:1" hidden="1">
      <c r="A926" s="118" t="s">
        <v>112</v>
      </c>
    </row>
    <row r="927" spans="1:1" hidden="1">
      <c r="A927" s="118" t="s">
        <v>112</v>
      </c>
    </row>
    <row r="950" spans="1:1" hidden="1">
      <c r="A950" s="118" t="s">
        <v>114</v>
      </c>
    </row>
    <row r="983" spans="1:1" hidden="1">
      <c r="A983" s="118" t="s">
        <v>114</v>
      </c>
    </row>
  </sheetData>
  <sheetProtection sheet="1" objects="1" scenarios="1" selectLockedCells="1"/>
  <mergeCells count="252">
    <mergeCell ref="C2:M2"/>
    <mergeCell ref="O2:Q2"/>
    <mergeCell ref="R2:S2"/>
    <mergeCell ref="T2:U2"/>
    <mergeCell ref="V2:W2"/>
    <mergeCell ref="Y2:Z2"/>
    <mergeCell ref="U31:Y33"/>
    <mergeCell ref="H10:J10"/>
    <mergeCell ref="R4:S4"/>
    <mergeCell ref="R5:S5"/>
    <mergeCell ref="R6:S6"/>
    <mergeCell ref="R7:S7"/>
    <mergeCell ref="H11:J11"/>
    <mergeCell ref="H12:J12"/>
    <mergeCell ref="K30:L30"/>
    <mergeCell ref="K31:L31"/>
    <mergeCell ref="K29:L29"/>
    <mergeCell ref="K19:L19"/>
    <mergeCell ref="K20:L20"/>
    <mergeCell ref="K21:L21"/>
    <mergeCell ref="K22:L22"/>
    <mergeCell ref="K23:L23"/>
    <mergeCell ref="K24:L24"/>
    <mergeCell ref="K25:L25"/>
    <mergeCell ref="H14:J14"/>
    <mergeCell ref="K17:L17"/>
    <mergeCell ref="H13:J13"/>
    <mergeCell ref="H17:I17"/>
    <mergeCell ref="F139:O139"/>
    <mergeCell ref="F138:O138"/>
    <mergeCell ref="F19:I19"/>
    <mergeCell ref="F20:I20"/>
    <mergeCell ref="F21:I21"/>
    <mergeCell ref="F22:I22"/>
    <mergeCell ref="F23:I23"/>
    <mergeCell ref="F24:I24"/>
    <mergeCell ref="F25:I25"/>
    <mergeCell ref="F26:I26"/>
    <mergeCell ref="F32:I32"/>
    <mergeCell ref="K32:L32"/>
    <mergeCell ref="F33:I33"/>
    <mergeCell ref="K33:L33"/>
    <mergeCell ref="F31:I31"/>
    <mergeCell ref="F37:I37"/>
    <mergeCell ref="K37:L37"/>
    <mergeCell ref="F40:I40"/>
    <mergeCell ref="K40:L40"/>
    <mergeCell ref="F41:I41"/>
    <mergeCell ref="K41:L41"/>
    <mergeCell ref="F38:I38"/>
    <mergeCell ref="K38:L38"/>
    <mergeCell ref="F39:I39"/>
    <mergeCell ref="F16:G16"/>
    <mergeCell ref="F17:G17"/>
    <mergeCell ref="F27:I27"/>
    <mergeCell ref="F28:I28"/>
    <mergeCell ref="F29:I29"/>
    <mergeCell ref="F30:I30"/>
    <mergeCell ref="H16:I16"/>
    <mergeCell ref="K16:L16"/>
    <mergeCell ref="F36:I36"/>
    <mergeCell ref="K36:L36"/>
    <mergeCell ref="F34:I34"/>
    <mergeCell ref="K34:L34"/>
    <mergeCell ref="F35:I35"/>
    <mergeCell ref="K35:L35"/>
    <mergeCell ref="K39:L39"/>
    <mergeCell ref="K26:L26"/>
    <mergeCell ref="K27:L27"/>
    <mergeCell ref="K28:L28"/>
    <mergeCell ref="F44:I44"/>
    <mergeCell ref="K44:L44"/>
    <mergeCell ref="F45:I45"/>
    <mergeCell ref="K45:L45"/>
    <mergeCell ref="F42:I42"/>
    <mergeCell ref="K42:L42"/>
    <mergeCell ref="F43:I43"/>
    <mergeCell ref="K43:L43"/>
    <mergeCell ref="F48:I48"/>
    <mergeCell ref="K48:L48"/>
    <mergeCell ref="F49:I49"/>
    <mergeCell ref="K49:L49"/>
    <mergeCell ref="F46:I46"/>
    <mergeCell ref="K46:L46"/>
    <mergeCell ref="F47:I47"/>
    <mergeCell ref="K47:L47"/>
    <mergeCell ref="F52:I52"/>
    <mergeCell ref="K52:L52"/>
    <mergeCell ref="F53:I53"/>
    <mergeCell ref="K53:L53"/>
    <mergeCell ref="F50:I50"/>
    <mergeCell ref="K50:L50"/>
    <mergeCell ref="F51:I51"/>
    <mergeCell ref="K51:L51"/>
    <mergeCell ref="F56:I56"/>
    <mergeCell ref="K56:L56"/>
    <mergeCell ref="F57:I57"/>
    <mergeCell ref="K57:L57"/>
    <mergeCell ref="F54:I54"/>
    <mergeCell ref="K54:L54"/>
    <mergeCell ref="F55:I55"/>
    <mergeCell ref="K55:L55"/>
    <mergeCell ref="F60:I60"/>
    <mergeCell ref="K60:L60"/>
    <mergeCell ref="F61:I61"/>
    <mergeCell ref="K61:L61"/>
    <mergeCell ref="F58:I58"/>
    <mergeCell ref="K58:L58"/>
    <mergeCell ref="F59:I59"/>
    <mergeCell ref="K59:L59"/>
    <mergeCell ref="F64:I64"/>
    <mergeCell ref="K64:L64"/>
    <mergeCell ref="F65:I65"/>
    <mergeCell ref="K65:L65"/>
    <mergeCell ref="F62:I62"/>
    <mergeCell ref="K62:L62"/>
    <mergeCell ref="F63:I63"/>
    <mergeCell ref="K63:L63"/>
    <mergeCell ref="F68:I68"/>
    <mergeCell ref="K68:L68"/>
    <mergeCell ref="F69:I69"/>
    <mergeCell ref="K69:L69"/>
    <mergeCell ref="F66:I66"/>
    <mergeCell ref="K66:L66"/>
    <mergeCell ref="F67:I67"/>
    <mergeCell ref="K67:L67"/>
    <mergeCell ref="F72:I72"/>
    <mergeCell ref="K72:L72"/>
    <mergeCell ref="F73:I73"/>
    <mergeCell ref="K73:L73"/>
    <mergeCell ref="F70:I70"/>
    <mergeCell ref="K70:L70"/>
    <mergeCell ref="F71:I71"/>
    <mergeCell ref="K71:L71"/>
    <mergeCell ref="F76:I76"/>
    <mergeCell ref="K76:L76"/>
    <mergeCell ref="F77:I77"/>
    <mergeCell ref="K77:L77"/>
    <mergeCell ref="F74:I74"/>
    <mergeCell ref="K74:L74"/>
    <mergeCell ref="F75:I75"/>
    <mergeCell ref="K75:L75"/>
    <mergeCell ref="F80:I80"/>
    <mergeCell ref="K80:L80"/>
    <mergeCell ref="F81:I81"/>
    <mergeCell ref="K81:L81"/>
    <mergeCell ref="F78:I78"/>
    <mergeCell ref="K78:L78"/>
    <mergeCell ref="F79:I79"/>
    <mergeCell ref="K79:L79"/>
    <mergeCell ref="F84:I84"/>
    <mergeCell ref="K84:L84"/>
    <mergeCell ref="F85:I85"/>
    <mergeCell ref="K85:L85"/>
    <mergeCell ref="F82:I82"/>
    <mergeCell ref="K82:L82"/>
    <mergeCell ref="F83:I83"/>
    <mergeCell ref="K83:L83"/>
    <mergeCell ref="F88:I88"/>
    <mergeCell ref="K88:L88"/>
    <mergeCell ref="F89:I89"/>
    <mergeCell ref="K89:L89"/>
    <mergeCell ref="F86:I86"/>
    <mergeCell ref="K86:L86"/>
    <mergeCell ref="F87:I87"/>
    <mergeCell ref="K87:L87"/>
    <mergeCell ref="F92:I92"/>
    <mergeCell ref="K92:L92"/>
    <mergeCell ref="F93:I93"/>
    <mergeCell ref="K93:L93"/>
    <mergeCell ref="F90:I90"/>
    <mergeCell ref="K90:L90"/>
    <mergeCell ref="F91:I91"/>
    <mergeCell ref="K91:L91"/>
    <mergeCell ref="F96:I96"/>
    <mergeCell ref="K96:L96"/>
    <mergeCell ref="F97:I97"/>
    <mergeCell ref="K97:L97"/>
    <mergeCell ref="F94:I94"/>
    <mergeCell ref="K94:L94"/>
    <mergeCell ref="F95:I95"/>
    <mergeCell ref="K95:L95"/>
    <mergeCell ref="F100:I100"/>
    <mergeCell ref="K100:L100"/>
    <mergeCell ref="F98:I98"/>
    <mergeCell ref="K98:L98"/>
    <mergeCell ref="F99:I99"/>
    <mergeCell ref="K99:L99"/>
    <mergeCell ref="F104:I104"/>
    <mergeCell ref="K104:L104"/>
    <mergeCell ref="F105:I105"/>
    <mergeCell ref="K105:L105"/>
    <mergeCell ref="F102:I102"/>
    <mergeCell ref="K102:L102"/>
    <mergeCell ref="F103:I103"/>
    <mergeCell ref="K103:L103"/>
    <mergeCell ref="F101:I101"/>
    <mergeCell ref="K101:L101"/>
    <mergeCell ref="F127:I127"/>
    <mergeCell ref="K127:L127"/>
    <mergeCell ref="F124:I124"/>
    <mergeCell ref="K124:L124"/>
    <mergeCell ref="F125:I125"/>
    <mergeCell ref="K125:L125"/>
    <mergeCell ref="F113:I113"/>
    <mergeCell ref="K113:L113"/>
    <mergeCell ref="F110:I110"/>
    <mergeCell ref="K110:L110"/>
    <mergeCell ref="F111:I111"/>
    <mergeCell ref="K111:L111"/>
    <mergeCell ref="F116:I116"/>
    <mergeCell ref="K116:L116"/>
    <mergeCell ref="F117:I117"/>
    <mergeCell ref="K117:L117"/>
    <mergeCell ref="F114:I114"/>
    <mergeCell ref="K114:L114"/>
    <mergeCell ref="F115:I115"/>
    <mergeCell ref="K115:L115"/>
    <mergeCell ref="F112:I112"/>
    <mergeCell ref="K112:L112"/>
    <mergeCell ref="F118:I118"/>
    <mergeCell ref="K118:L118"/>
    <mergeCell ref="F119:I119"/>
    <mergeCell ref="K119:L119"/>
    <mergeCell ref="F108:I108"/>
    <mergeCell ref="K108:L108"/>
    <mergeCell ref="F109:I109"/>
    <mergeCell ref="K109:L109"/>
    <mergeCell ref="F106:I106"/>
    <mergeCell ref="K106:L106"/>
    <mergeCell ref="F107:I107"/>
    <mergeCell ref="K107:L107"/>
    <mergeCell ref="F126:I126"/>
    <mergeCell ref="K126:L126"/>
    <mergeCell ref="F122:I122"/>
    <mergeCell ref="K122:L122"/>
    <mergeCell ref="F123:I123"/>
    <mergeCell ref="K123:L123"/>
    <mergeCell ref="F120:I120"/>
    <mergeCell ref="K120:L120"/>
    <mergeCell ref="F121:I121"/>
    <mergeCell ref="K121:L121"/>
    <mergeCell ref="U26:Y30"/>
    <mergeCell ref="N5:O5"/>
    <mergeCell ref="N6:O6"/>
    <mergeCell ref="N16:O16"/>
    <mergeCell ref="N17:O17"/>
    <mergeCell ref="AG15:AI15"/>
    <mergeCell ref="AG11:AI11"/>
    <mergeCell ref="AG12:AI12"/>
    <mergeCell ref="AG13:AI13"/>
    <mergeCell ref="AG14:AI14"/>
  </mergeCells>
  <phoneticPr fontId="6" type="noConversion"/>
  <dataValidations count="10">
    <dataValidation type="decimal" operator="lessThanOrEqual" allowBlank="1" showInputMessage="1" showErrorMessage="1" errorTitle="Invalid Input" error="Please enter a valid numeric_x000a_value." sqref="O133 M130:N131 K20:K127 M20:M127 O129" xr:uid="{00000000-0002-0000-0000-000000000000}">
      <formula1>999999999.99</formula1>
    </dataValidation>
    <dataValidation type="date" allowBlank="1" showErrorMessage="1" errorTitle="Invalid Input" error="Please enter a valid date." sqref="N5 J17" xr:uid="{00000000-0002-0000-0000-000001000000}">
      <formula1>36526</formula1>
      <formula2>402132</formula2>
    </dataValidation>
    <dataValidation type="textLength" allowBlank="1" showInputMessage="1" showErrorMessage="1" errorTitle="Invalid Input" error="Max characters allowed: 10" sqref="H9 S20:S37" xr:uid="{00000000-0002-0000-0000-000002000000}">
      <formula1>0</formula1>
      <formula2>10</formula2>
    </dataValidation>
    <dataValidation type="textLength" allowBlank="1" showInputMessage="1" showErrorMessage="1" errorTitle="Invalid Input" error="Max characters allowed: 60" sqref="AG11:AI13 H10:J12" xr:uid="{00000000-0002-0000-0000-000003000000}">
      <formula1>0</formula1>
      <formula2>60</formula2>
    </dataValidation>
    <dataValidation type="textLength" allowBlank="1" showInputMessage="1" showErrorMessage="1" errorTitle="Invalid Input" error="Max characters allowed: 20" sqref="AG14:AI14 H13:J14" xr:uid="{00000000-0002-0000-0000-000004000000}">
      <formula1>0</formula1>
      <formula2>20</formula2>
    </dataValidation>
    <dataValidation type="textLength" allowBlank="1" showInputMessage="1" showErrorMessage="1" errorTitle="Invalid Input" error="Max characters allowed: 30" sqref="AG15:AI15" xr:uid="{00000000-0002-0000-0000-000005000000}">
      <formula1>0</formula1>
      <formula2>30</formula2>
    </dataValidation>
    <dataValidation type="textLength" operator="lessThan" allowBlank="1" showInputMessage="1" showErrorMessage="1" errorTitle="Invalid Input" error="Max characters allowed: 15" sqref="F17:G17 M17:N17" xr:uid="{00000000-0002-0000-0000-000006000000}">
      <formula1>15</formula1>
    </dataValidation>
    <dataValidation type="textLength" operator="lessThanOrEqual" allowBlank="1" showInputMessage="1" showErrorMessage="1" errorTitle="Invalid Input" error="Max characters allowed: 30" sqref="H17:I17 K17:L17" xr:uid="{00000000-0002-0000-0000-000007000000}">
      <formula1>30</formula1>
    </dataValidation>
    <dataValidation type="textLength" operator="lessThanOrEqual" allowBlank="1" showInputMessage="1" showErrorMessage="1" errorTitle="Invalid Input" error="Max characters allowed: 20" sqref="O17" xr:uid="{00000000-0002-0000-0000-000008000000}">
      <formula1>20</formula1>
    </dataValidation>
    <dataValidation type="textLength" operator="lessThanOrEqual" allowBlank="1" showInputMessage="1" showErrorMessage="1" errorTitle="Invalid Input" error="Max characters allowed: 100" sqref="F21:F31 F127 F125 F123 F121 F119 F117 F115 F113 F111 F109 F107 F105 F103 F101 F99 F97 F95 F93 F91 F89 F87 F85 F83 F81 F79 F77 F75 F73 F71 F69 F67 F65 F63 F61 F59 F57 F55 F53 F51 F49 F47 F45 F43 F41 F39 F37 F35 F33" xr:uid="{00000000-0002-0000-0000-000009000000}">
      <formula1>100</formula1>
    </dataValidation>
  </dataValidations>
  <hyperlinks>
    <hyperlink ref="F138:O138" r:id="rId1" display="your web site, email, phone numbers" xr:uid="{00000000-0004-0000-0000-000000000000}"/>
    <hyperlink ref="U31" r:id="rId2" display="http://www.InvoicingTemplates.com" xr:uid="{00000000-0004-0000-0000-000003000000}"/>
    <hyperlink ref="A927" r:id="rId3" tooltip="Singapore GST Billing Format (Service)" display="http://www.invoicingtemplate.com/singaporegst-service.html" xr:uid="{00000000-0004-0000-0000-000005000000}"/>
    <hyperlink ref="AJD3" r:id="rId4" tooltip="Singapore GST Invoice Template (Service)" display="http://www.invoicingtemplate.com/singaporegst-service.html" xr:uid="{00000000-0004-0000-0000-000006000000}"/>
    <hyperlink ref="A926" r:id="rId5" tooltip="Singapore GST Billing Format (Service)" display="http://www.invoicingtemplate.com/singaporegst-service.html" xr:uid="{00000000-0004-0000-0000-000007000000}"/>
    <hyperlink ref="AHY3" r:id="rId6" tooltip="Singapore GST Invoice Template (Service)" display="http://www.invoicingtemplate.com/singaporegst-service.html" xr:uid="{00000000-0004-0000-0000-000008000000}"/>
    <hyperlink ref="A983" r:id="rId7" tooltip="Singapore GST Billing Format (Service)" display="http://www.invoicingtemplate.com/singaporegst-service.html" xr:uid="{00000000-0004-0000-0000-000009000000}"/>
    <hyperlink ref="AIO3" r:id="rId8" tooltip="Singapore GST Invoice Template (Service)" display="http://www.invoicingtemplate.com/singaporegst-service.html" xr:uid="{00000000-0004-0000-0000-00000A000000}"/>
    <hyperlink ref="A950" r:id="rId9" tooltip="Singapore GST Billing Format (Service)" display="http://www.invoicingtemplate.com/singaporegst-service.html" xr:uid="{00000000-0004-0000-0000-00000B000000}"/>
    <hyperlink ref="AKM3" r:id="rId10" tooltip="Singapore GST Invoice Template (Service)" display="http://www.invoicingtemplate.com/singaporegst-service.html" xr:uid="{00000000-0004-0000-0000-00000C000000}"/>
  </hyperlinks>
  <printOptions horizontalCentered="1"/>
  <pageMargins left="0.34" right="0.26" top="0.43307086614173229" bottom="0.59055118110236227" header="0.51181102362204722" footer="0.39370078740157483"/>
  <pageSetup paperSize="9" orientation="portrait" horizontalDpi="300" verticalDpi="300" r:id="rId11"/>
  <headerFooter alignWithMargins="0">
    <oddFooter>Page &amp;P of &amp;N</oddFooter>
  </headerFooter>
  <drawing r:id="rId12"/>
  <legacyDrawing r:id="rId13"/>
  <mc:AlternateContent xmlns:mc="http://schemas.openxmlformats.org/markup-compatibility/2006">
    <mc:Choice Requires="x14">
      <controls>
        <mc:AlternateContent xmlns:mc="http://schemas.openxmlformats.org/markup-compatibility/2006">
          <mc:Choice Requires="x14">
            <control shapeId="1353" r:id="rId14" name="oknWidget_taxable1">
              <controlPr defaultSize="0" autoFill="0" autoLine="0" autoPict="0" altText="">
                <anchor moveWithCells="1">
                  <from>
                    <xdr:col>8</xdr:col>
                    <xdr:colOff>476250</xdr:colOff>
                    <xdr:row>19</xdr:row>
                    <xdr:rowOff>0</xdr:rowOff>
                  </from>
                  <to>
                    <xdr:col>9</xdr:col>
                    <xdr:colOff>76200</xdr:colOff>
                    <xdr:row>20</xdr:row>
                    <xdr:rowOff>9525</xdr:rowOff>
                  </to>
                </anchor>
              </controlPr>
            </control>
          </mc:Choice>
        </mc:AlternateContent>
        <mc:AlternateContent xmlns:mc="http://schemas.openxmlformats.org/markup-compatibility/2006">
          <mc:Choice Requires="x14">
            <control shapeId="1354" r:id="rId15" name="oknWidget_taxable2">
              <controlPr defaultSize="0" autoFill="0" autoLine="0" autoPict="0" altText="">
                <anchor moveWithCells="1">
                  <from>
                    <xdr:col>8</xdr:col>
                    <xdr:colOff>476250</xdr:colOff>
                    <xdr:row>20</xdr:row>
                    <xdr:rowOff>9525</xdr:rowOff>
                  </from>
                  <to>
                    <xdr:col>9</xdr:col>
                    <xdr:colOff>76200</xdr:colOff>
                    <xdr:row>21</xdr:row>
                    <xdr:rowOff>19050</xdr:rowOff>
                  </to>
                </anchor>
              </controlPr>
            </control>
          </mc:Choice>
        </mc:AlternateContent>
        <mc:AlternateContent xmlns:mc="http://schemas.openxmlformats.org/markup-compatibility/2006">
          <mc:Choice Requires="x14">
            <control shapeId="1355" r:id="rId16" name="oknWidget_taxable3">
              <controlPr defaultSize="0" autoFill="0" autoLine="0" autoPict="0" altText="">
                <anchor moveWithCells="1">
                  <from>
                    <xdr:col>8</xdr:col>
                    <xdr:colOff>476250</xdr:colOff>
                    <xdr:row>21</xdr:row>
                    <xdr:rowOff>19050</xdr:rowOff>
                  </from>
                  <to>
                    <xdr:col>9</xdr:col>
                    <xdr:colOff>76200</xdr:colOff>
                    <xdr:row>22</xdr:row>
                    <xdr:rowOff>28575</xdr:rowOff>
                  </to>
                </anchor>
              </controlPr>
            </control>
          </mc:Choice>
        </mc:AlternateContent>
        <mc:AlternateContent xmlns:mc="http://schemas.openxmlformats.org/markup-compatibility/2006">
          <mc:Choice Requires="x14">
            <control shapeId="1356" r:id="rId17" name="oknWidget_taxable4">
              <controlPr defaultSize="0" autoFill="0" autoLine="0" autoPict="0" altText="">
                <anchor moveWithCells="1">
                  <from>
                    <xdr:col>8</xdr:col>
                    <xdr:colOff>476250</xdr:colOff>
                    <xdr:row>22</xdr:row>
                    <xdr:rowOff>9525</xdr:rowOff>
                  </from>
                  <to>
                    <xdr:col>9</xdr:col>
                    <xdr:colOff>76200</xdr:colOff>
                    <xdr:row>23</xdr:row>
                    <xdr:rowOff>19050</xdr:rowOff>
                  </to>
                </anchor>
              </controlPr>
            </control>
          </mc:Choice>
        </mc:AlternateContent>
        <mc:AlternateContent xmlns:mc="http://schemas.openxmlformats.org/markup-compatibility/2006">
          <mc:Choice Requires="x14">
            <control shapeId="1357" r:id="rId18" name="oknWidget_taxable5">
              <controlPr defaultSize="0" autoFill="0" autoLine="0" autoPict="0" altText="">
                <anchor moveWithCells="1">
                  <from>
                    <xdr:col>8</xdr:col>
                    <xdr:colOff>476250</xdr:colOff>
                    <xdr:row>23</xdr:row>
                    <xdr:rowOff>0</xdr:rowOff>
                  </from>
                  <to>
                    <xdr:col>9</xdr:col>
                    <xdr:colOff>76200</xdr:colOff>
                    <xdr:row>24</xdr:row>
                    <xdr:rowOff>9525</xdr:rowOff>
                  </to>
                </anchor>
              </controlPr>
            </control>
          </mc:Choice>
        </mc:AlternateContent>
        <mc:AlternateContent xmlns:mc="http://schemas.openxmlformats.org/markup-compatibility/2006">
          <mc:Choice Requires="x14">
            <control shapeId="1358" r:id="rId19" name="oknWidget_taxable6">
              <controlPr defaultSize="0" autoFill="0" autoLine="0" autoPict="0" altText="">
                <anchor moveWithCells="1">
                  <from>
                    <xdr:col>8</xdr:col>
                    <xdr:colOff>476250</xdr:colOff>
                    <xdr:row>23</xdr:row>
                    <xdr:rowOff>190500</xdr:rowOff>
                  </from>
                  <to>
                    <xdr:col>9</xdr:col>
                    <xdr:colOff>76200</xdr:colOff>
                    <xdr:row>25</xdr:row>
                    <xdr:rowOff>0</xdr:rowOff>
                  </to>
                </anchor>
              </controlPr>
            </control>
          </mc:Choice>
        </mc:AlternateContent>
        <mc:AlternateContent xmlns:mc="http://schemas.openxmlformats.org/markup-compatibility/2006">
          <mc:Choice Requires="x14">
            <control shapeId="1359" r:id="rId20" name="oknWidget_taxable7">
              <controlPr defaultSize="0" autoFill="0" autoLine="0" autoPict="0" altText="">
                <anchor moveWithCells="1">
                  <from>
                    <xdr:col>8</xdr:col>
                    <xdr:colOff>476250</xdr:colOff>
                    <xdr:row>25</xdr:row>
                    <xdr:rowOff>9525</xdr:rowOff>
                  </from>
                  <to>
                    <xdr:col>9</xdr:col>
                    <xdr:colOff>76200</xdr:colOff>
                    <xdr:row>26</xdr:row>
                    <xdr:rowOff>19050</xdr:rowOff>
                  </to>
                </anchor>
              </controlPr>
            </control>
          </mc:Choice>
        </mc:AlternateContent>
        <mc:AlternateContent xmlns:mc="http://schemas.openxmlformats.org/markup-compatibility/2006">
          <mc:Choice Requires="x14">
            <control shapeId="1360" r:id="rId21" name="oknWidget_taxable8">
              <controlPr defaultSize="0" autoFill="0" autoLine="0" autoPict="0" altText="">
                <anchor moveWithCells="1">
                  <from>
                    <xdr:col>8</xdr:col>
                    <xdr:colOff>476250</xdr:colOff>
                    <xdr:row>26</xdr:row>
                    <xdr:rowOff>9525</xdr:rowOff>
                  </from>
                  <to>
                    <xdr:col>9</xdr:col>
                    <xdr:colOff>76200</xdr:colOff>
                    <xdr:row>27</xdr:row>
                    <xdr:rowOff>19050</xdr:rowOff>
                  </to>
                </anchor>
              </controlPr>
            </control>
          </mc:Choice>
        </mc:AlternateContent>
        <mc:AlternateContent xmlns:mc="http://schemas.openxmlformats.org/markup-compatibility/2006">
          <mc:Choice Requires="x14">
            <control shapeId="1361" r:id="rId22" name="oknWidget_taxable9">
              <controlPr defaultSize="0" autoFill="0" autoLine="0" autoPict="0" altText="">
                <anchor moveWithCells="1">
                  <from>
                    <xdr:col>8</xdr:col>
                    <xdr:colOff>476250</xdr:colOff>
                    <xdr:row>26</xdr:row>
                    <xdr:rowOff>180975</xdr:rowOff>
                  </from>
                  <to>
                    <xdr:col>9</xdr:col>
                    <xdr:colOff>76200</xdr:colOff>
                    <xdr:row>27</xdr:row>
                    <xdr:rowOff>190500</xdr:rowOff>
                  </to>
                </anchor>
              </controlPr>
            </control>
          </mc:Choice>
        </mc:AlternateContent>
        <mc:AlternateContent xmlns:mc="http://schemas.openxmlformats.org/markup-compatibility/2006">
          <mc:Choice Requires="x14">
            <control shapeId="1362" r:id="rId23" name="oknWidget_taxable10">
              <controlPr defaultSize="0" autoFill="0" autoLine="0" autoPict="0" altText="">
                <anchor moveWithCells="1">
                  <from>
                    <xdr:col>8</xdr:col>
                    <xdr:colOff>476250</xdr:colOff>
                    <xdr:row>27</xdr:row>
                    <xdr:rowOff>180975</xdr:rowOff>
                  </from>
                  <to>
                    <xdr:col>9</xdr:col>
                    <xdr:colOff>76200</xdr:colOff>
                    <xdr:row>28</xdr:row>
                    <xdr:rowOff>190500</xdr:rowOff>
                  </to>
                </anchor>
              </controlPr>
            </control>
          </mc:Choice>
        </mc:AlternateContent>
        <mc:AlternateContent xmlns:mc="http://schemas.openxmlformats.org/markup-compatibility/2006">
          <mc:Choice Requires="x14">
            <control shapeId="1363" r:id="rId24" name="oknWidget_taxable11">
              <controlPr defaultSize="0" autoFill="0" autoLine="0" autoPict="0" altText="">
                <anchor moveWithCells="1">
                  <from>
                    <xdr:col>8</xdr:col>
                    <xdr:colOff>476250</xdr:colOff>
                    <xdr:row>28</xdr:row>
                    <xdr:rowOff>180975</xdr:rowOff>
                  </from>
                  <to>
                    <xdr:col>9</xdr:col>
                    <xdr:colOff>76200</xdr:colOff>
                    <xdr:row>29</xdr:row>
                    <xdr:rowOff>190500</xdr:rowOff>
                  </to>
                </anchor>
              </controlPr>
            </control>
          </mc:Choice>
        </mc:AlternateContent>
        <mc:AlternateContent xmlns:mc="http://schemas.openxmlformats.org/markup-compatibility/2006">
          <mc:Choice Requires="x14">
            <control shapeId="1364" r:id="rId25" name="oknWidget_taxable12">
              <controlPr defaultSize="0" autoFill="0" autoLine="0" autoPict="0" altText="">
                <anchor moveWithCells="1">
                  <from>
                    <xdr:col>8</xdr:col>
                    <xdr:colOff>476250</xdr:colOff>
                    <xdr:row>29</xdr:row>
                    <xdr:rowOff>190500</xdr:rowOff>
                  </from>
                  <to>
                    <xdr:col>9</xdr:col>
                    <xdr:colOff>76200</xdr:colOff>
                    <xdr:row>31</xdr:row>
                    <xdr:rowOff>0</xdr:rowOff>
                  </to>
                </anchor>
              </controlPr>
            </control>
          </mc:Choice>
        </mc:AlternateContent>
        <mc:AlternateContent xmlns:mc="http://schemas.openxmlformats.org/markup-compatibility/2006">
          <mc:Choice Requires="x14">
            <control shapeId="1365" r:id="rId26" name="oknWidget_taxable13">
              <controlPr defaultSize="0" autoFill="0" autoLine="0" autoPict="0" altText="">
                <anchor moveWithCells="1">
                  <from>
                    <xdr:col>8</xdr:col>
                    <xdr:colOff>476250</xdr:colOff>
                    <xdr:row>31</xdr:row>
                    <xdr:rowOff>0</xdr:rowOff>
                  </from>
                  <to>
                    <xdr:col>9</xdr:col>
                    <xdr:colOff>76200</xdr:colOff>
                    <xdr:row>32</xdr:row>
                    <xdr:rowOff>9525</xdr:rowOff>
                  </to>
                </anchor>
              </controlPr>
            </control>
          </mc:Choice>
        </mc:AlternateContent>
        <mc:AlternateContent xmlns:mc="http://schemas.openxmlformats.org/markup-compatibility/2006">
          <mc:Choice Requires="x14">
            <control shapeId="1366" r:id="rId27" name="oknWidget_taxable14">
              <controlPr defaultSize="0" autoFill="0" autoLine="0" autoPict="0" altText="">
                <anchor moveWithCells="1">
                  <from>
                    <xdr:col>8</xdr:col>
                    <xdr:colOff>476250</xdr:colOff>
                    <xdr:row>32</xdr:row>
                    <xdr:rowOff>9525</xdr:rowOff>
                  </from>
                  <to>
                    <xdr:col>9</xdr:col>
                    <xdr:colOff>76200</xdr:colOff>
                    <xdr:row>33</xdr:row>
                    <xdr:rowOff>19050</xdr:rowOff>
                  </to>
                </anchor>
              </controlPr>
            </control>
          </mc:Choice>
        </mc:AlternateContent>
        <mc:AlternateContent xmlns:mc="http://schemas.openxmlformats.org/markup-compatibility/2006">
          <mc:Choice Requires="x14">
            <control shapeId="1367" r:id="rId28" name="oknWidget_taxable15">
              <controlPr defaultSize="0" autoFill="0" autoLine="0" autoPict="0" altText="">
                <anchor moveWithCells="1">
                  <from>
                    <xdr:col>8</xdr:col>
                    <xdr:colOff>476250</xdr:colOff>
                    <xdr:row>33</xdr:row>
                    <xdr:rowOff>9525</xdr:rowOff>
                  </from>
                  <to>
                    <xdr:col>9</xdr:col>
                    <xdr:colOff>76200</xdr:colOff>
                    <xdr:row>34</xdr:row>
                    <xdr:rowOff>19050</xdr:rowOff>
                  </to>
                </anchor>
              </controlPr>
            </control>
          </mc:Choice>
        </mc:AlternateContent>
        <mc:AlternateContent xmlns:mc="http://schemas.openxmlformats.org/markup-compatibility/2006">
          <mc:Choice Requires="x14">
            <control shapeId="1368" r:id="rId29" name="oknWidget_taxable16">
              <controlPr defaultSize="0" autoFill="0" autoLine="0" autoPict="0" altText="">
                <anchor moveWithCells="1">
                  <from>
                    <xdr:col>8</xdr:col>
                    <xdr:colOff>476250</xdr:colOff>
                    <xdr:row>34</xdr:row>
                    <xdr:rowOff>9525</xdr:rowOff>
                  </from>
                  <to>
                    <xdr:col>9</xdr:col>
                    <xdr:colOff>76200</xdr:colOff>
                    <xdr:row>35</xdr:row>
                    <xdr:rowOff>19050</xdr:rowOff>
                  </to>
                </anchor>
              </controlPr>
            </control>
          </mc:Choice>
        </mc:AlternateContent>
        <mc:AlternateContent xmlns:mc="http://schemas.openxmlformats.org/markup-compatibility/2006">
          <mc:Choice Requires="x14">
            <control shapeId="1369" r:id="rId30" name="oknWidget_taxable17">
              <controlPr defaultSize="0" autoFill="0" autoLine="0" autoPict="0" altText="">
                <anchor moveWithCells="1">
                  <from>
                    <xdr:col>8</xdr:col>
                    <xdr:colOff>476250</xdr:colOff>
                    <xdr:row>35</xdr:row>
                    <xdr:rowOff>0</xdr:rowOff>
                  </from>
                  <to>
                    <xdr:col>9</xdr:col>
                    <xdr:colOff>76200</xdr:colOff>
                    <xdr:row>36</xdr:row>
                    <xdr:rowOff>9525</xdr:rowOff>
                  </to>
                </anchor>
              </controlPr>
            </control>
          </mc:Choice>
        </mc:AlternateContent>
        <mc:AlternateContent xmlns:mc="http://schemas.openxmlformats.org/markup-compatibility/2006">
          <mc:Choice Requires="x14">
            <control shapeId="1370" r:id="rId31" name="oknWidget_taxable18">
              <controlPr defaultSize="0" autoFill="0" autoLine="0" autoPict="0" altText="">
                <anchor moveWithCells="1">
                  <from>
                    <xdr:col>8</xdr:col>
                    <xdr:colOff>476250</xdr:colOff>
                    <xdr:row>36</xdr:row>
                    <xdr:rowOff>9525</xdr:rowOff>
                  </from>
                  <to>
                    <xdr:col>9</xdr:col>
                    <xdr:colOff>76200</xdr:colOff>
                    <xdr:row>127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showGridLines="0" workbookViewId="0">
      <selection activeCell="B6" sqref="B6"/>
    </sheetView>
  </sheetViews>
  <sheetFormatPr defaultRowHeight="15"/>
  <cols>
    <col min="1" max="1" width="3" style="116" customWidth="1"/>
    <col min="2" max="2" width="76" style="116" customWidth="1"/>
    <col min="3" max="256" width="9.140625" style="109"/>
    <col min="257" max="257" width="3" style="109" customWidth="1"/>
    <col min="258" max="258" width="76" style="109" customWidth="1"/>
    <col min="259" max="512" width="9.140625" style="109"/>
    <col min="513" max="513" width="3" style="109" customWidth="1"/>
    <col min="514" max="514" width="76" style="109" customWidth="1"/>
    <col min="515" max="768" width="9.140625" style="109"/>
    <col min="769" max="769" width="3" style="109" customWidth="1"/>
    <col min="770" max="770" width="76" style="109" customWidth="1"/>
    <col min="771" max="1024" width="9.140625" style="109"/>
    <col min="1025" max="1025" width="3" style="109" customWidth="1"/>
    <col min="1026" max="1026" width="76" style="109" customWidth="1"/>
    <col min="1027" max="1280" width="9.140625" style="109"/>
    <col min="1281" max="1281" width="3" style="109" customWidth="1"/>
    <col min="1282" max="1282" width="76" style="109" customWidth="1"/>
    <col min="1283" max="1536" width="9.140625" style="109"/>
    <col min="1537" max="1537" width="3" style="109" customWidth="1"/>
    <col min="1538" max="1538" width="76" style="109" customWidth="1"/>
    <col min="1539" max="1792" width="9.140625" style="109"/>
    <col min="1793" max="1793" width="3" style="109" customWidth="1"/>
    <col min="1794" max="1794" width="76" style="109" customWidth="1"/>
    <col min="1795" max="2048" width="9.140625" style="109"/>
    <col min="2049" max="2049" width="3" style="109" customWidth="1"/>
    <col min="2050" max="2050" width="76" style="109" customWidth="1"/>
    <col min="2051" max="2304" width="9.140625" style="109"/>
    <col min="2305" max="2305" width="3" style="109" customWidth="1"/>
    <col min="2306" max="2306" width="76" style="109" customWidth="1"/>
    <col min="2307" max="2560" width="9.140625" style="109"/>
    <col min="2561" max="2561" width="3" style="109" customWidth="1"/>
    <col min="2562" max="2562" width="76" style="109" customWidth="1"/>
    <col min="2563" max="2816" width="9.140625" style="109"/>
    <col min="2817" max="2817" width="3" style="109" customWidth="1"/>
    <col min="2818" max="2818" width="76" style="109" customWidth="1"/>
    <col min="2819" max="3072" width="9.140625" style="109"/>
    <col min="3073" max="3073" width="3" style="109" customWidth="1"/>
    <col min="3074" max="3074" width="76" style="109" customWidth="1"/>
    <col min="3075" max="3328" width="9.140625" style="109"/>
    <col min="3329" max="3329" width="3" style="109" customWidth="1"/>
    <col min="3330" max="3330" width="76" style="109" customWidth="1"/>
    <col min="3331" max="3584" width="9.140625" style="109"/>
    <col min="3585" max="3585" width="3" style="109" customWidth="1"/>
    <col min="3586" max="3586" width="76" style="109" customWidth="1"/>
    <col min="3587" max="3840" width="9.140625" style="109"/>
    <col min="3841" max="3841" width="3" style="109" customWidth="1"/>
    <col min="3842" max="3842" width="76" style="109" customWidth="1"/>
    <col min="3843" max="4096" width="9.140625" style="109"/>
    <col min="4097" max="4097" width="3" style="109" customWidth="1"/>
    <col min="4098" max="4098" width="76" style="109" customWidth="1"/>
    <col min="4099" max="4352" width="9.140625" style="109"/>
    <col min="4353" max="4353" width="3" style="109" customWidth="1"/>
    <col min="4354" max="4354" width="76" style="109" customWidth="1"/>
    <col min="4355" max="4608" width="9.140625" style="109"/>
    <col min="4609" max="4609" width="3" style="109" customWidth="1"/>
    <col min="4610" max="4610" width="76" style="109" customWidth="1"/>
    <col min="4611" max="4864" width="9.140625" style="109"/>
    <col min="4865" max="4865" width="3" style="109" customWidth="1"/>
    <col min="4866" max="4866" width="76" style="109" customWidth="1"/>
    <col min="4867" max="5120" width="9.140625" style="109"/>
    <col min="5121" max="5121" width="3" style="109" customWidth="1"/>
    <col min="5122" max="5122" width="76" style="109" customWidth="1"/>
    <col min="5123" max="5376" width="9.140625" style="109"/>
    <col min="5377" max="5377" width="3" style="109" customWidth="1"/>
    <col min="5378" max="5378" width="76" style="109" customWidth="1"/>
    <col min="5379" max="5632" width="9.140625" style="109"/>
    <col min="5633" max="5633" width="3" style="109" customWidth="1"/>
    <col min="5634" max="5634" width="76" style="109" customWidth="1"/>
    <col min="5635" max="5888" width="9.140625" style="109"/>
    <col min="5889" max="5889" width="3" style="109" customWidth="1"/>
    <col min="5890" max="5890" width="76" style="109" customWidth="1"/>
    <col min="5891" max="6144" width="9.140625" style="109"/>
    <col min="6145" max="6145" width="3" style="109" customWidth="1"/>
    <col min="6146" max="6146" width="76" style="109" customWidth="1"/>
    <col min="6147" max="6400" width="9.140625" style="109"/>
    <col min="6401" max="6401" width="3" style="109" customWidth="1"/>
    <col min="6402" max="6402" width="76" style="109" customWidth="1"/>
    <col min="6403" max="6656" width="9.140625" style="109"/>
    <col min="6657" max="6657" width="3" style="109" customWidth="1"/>
    <col min="6658" max="6658" width="76" style="109" customWidth="1"/>
    <col min="6659" max="6912" width="9.140625" style="109"/>
    <col min="6913" max="6913" width="3" style="109" customWidth="1"/>
    <col min="6914" max="6914" width="76" style="109" customWidth="1"/>
    <col min="6915" max="7168" width="9.140625" style="109"/>
    <col min="7169" max="7169" width="3" style="109" customWidth="1"/>
    <col min="7170" max="7170" width="76" style="109" customWidth="1"/>
    <col min="7171" max="7424" width="9.140625" style="109"/>
    <col min="7425" max="7425" width="3" style="109" customWidth="1"/>
    <col min="7426" max="7426" width="76" style="109" customWidth="1"/>
    <col min="7427" max="7680" width="9.140625" style="109"/>
    <col min="7681" max="7681" width="3" style="109" customWidth="1"/>
    <col min="7682" max="7682" width="76" style="109" customWidth="1"/>
    <col min="7683" max="7936" width="9.140625" style="109"/>
    <col min="7937" max="7937" width="3" style="109" customWidth="1"/>
    <col min="7938" max="7938" width="76" style="109" customWidth="1"/>
    <col min="7939" max="8192" width="9.140625" style="109"/>
    <col min="8193" max="8193" width="3" style="109" customWidth="1"/>
    <col min="8194" max="8194" width="76" style="109" customWidth="1"/>
    <col min="8195" max="8448" width="9.140625" style="109"/>
    <col min="8449" max="8449" width="3" style="109" customWidth="1"/>
    <col min="8450" max="8450" width="76" style="109" customWidth="1"/>
    <col min="8451" max="8704" width="9.140625" style="109"/>
    <col min="8705" max="8705" width="3" style="109" customWidth="1"/>
    <col min="8706" max="8706" width="76" style="109" customWidth="1"/>
    <col min="8707" max="8960" width="9.140625" style="109"/>
    <col min="8961" max="8961" width="3" style="109" customWidth="1"/>
    <col min="8962" max="8962" width="76" style="109" customWidth="1"/>
    <col min="8963" max="9216" width="9.140625" style="109"/>
    <col min="9217" max="9217" width="3" style="109" customWidth="1"/>
    <col min="9218" max="9218" width="76" style="109" customWidth="1"/>
    <col min="9219" max="9472" width="9.140625" style="109"/>
    <col min="9473" max="9473" width="3" style="109" customWidth="1"/>
    <col min="9474" max="9474" width="76" style="109" customWidth="1"/>
    <col min="9475" max="9728" width="9.140625" style="109"/>
    <col min="9729" max="9729" width="3" style="109" customWidth="1"/>
    <col min="9730" max="9730" width="76" style="109" customWidth="1"/>
    <col min="9731" max="9984" width="9.140625" style="109"/>
    <col min="9985" max="9985" width="3" style="109" customWidth="1"/>
    <col min="9986" max="9986" width="76" style="109" customWidth="1"/>
    <col min="9987" max="10240" width="9.140625" style="109"/>
    <col min="10241" max="10241" width="3" style="109" customWidth="1"/>
    <col min="10242" max="10242" width="76" style="109" customWidth="1"/>
    <col min="10243" max="10496" width="9.140625" style="109"/>
    <col min="10497" max="10497" width="3" style="109" customWidth="1"/>
    <col min="10498" max="10498" width="76" style="109" customWidth="1"/>
    <col min="10499" max="10752" width="9.140625" style="109"/>
    <col min="10753" max="10753" width="3" style="109" customWidth="1"/>
    <col min="10754" max="10754" width="76" style="109" customWidth="1"/>
    <col min="10755" max="11008" width="9.140625" style="109"/>
    <col min="11009" max="11009" width="3" style="109" customWidth="1"/>
    <col min="11010" max="11010" width="76" style="109" customWidth="1"/>
    <col min="11011" max="11264" width="9.140625" style="109"/>
    <col min="11265" max="11265" width="3" style="109" customWidth="1"/>
    <col min="11266" max="11266" width="76" style="109" customWidth="1"/>
    <col min="11267" max="11520" width="9.140625" style="109"/>
    <col min="11521" max="11521" width="3" style="109" customWidth="1"/>
    <col min="11522" max="11522" width="76" style="109" customWidth="1"/>
    <col min="11523" max="11776" width="9.140625" style="109"/>
    <col min="11777" max="11777" width="3" style="109" customWidth="1"/>
    <col min="11778" max="11778" width="76" style="109" customWidth="1"/>
    <col min="11779" max="12032" width="9.140625" style="109"/>
    <col min="12033" max="12033" width="3" style="109" customWidth="1"/>
    <col min="12034" max="12034" width="76" style="109" customWidth="1"/>
    <col min="12035" max="12288" width="9.140625" style="109"/>
    <col min="12289" max="12289" width="3" style="109" customWidth="1"/>
    <col min="12290" max="12290" width="76" style="109" customWidth="1"/>
    <col min="12291" max="12544" width="9.140625" style="109"/>
    <col min="12545" max="12545" width="3" style="109" customWidth="1"/>
    <col min="12546" max="12546" width="76" style="109" customWidth="1"/>
    <col min="12547" max="12800" width="9.140625" style="109"/>
    <col min="12801" max="12801" width="3" style="109" customWidth="1"/>
    <col min="12802" max="12802" width="76" style="109" customWidth="1"/>
    <col min="12803" max="13056" width="9.140625" style="109"/>
    <col min="13057" max="13057" width="3" style="109" customWidth="1"/>
    <col min="13058" max="13058" width="76" style="109" customWidth="1"/>
    <col min="13059" max="13312" width="9.140625" style="109"/>
    <col min="13313" max="13313" width="3" style="109" customWidth="1"/>
    <col min="13314" max="13314" width="76" style="109" customWidth="1"/>
    <col min="13315" max="13568" width="9.140625" style="109"/>
    <col min="13569" max="13569" width="3" style="109" customWidth="1"/>
    <col min="13570" max="13570" width="76" style="109" customWidth="1"/>
    <col min="13571" max="13824" width="9.140625" style="109"/>
    <col min="13825" max="13825" width="3" style="109" customWidth="1"/>
    <col min="13826" max="13826" width="76" style="109" customWidth="1"/>
    <col min="13827" max="14080" width="9.140625" style="109"/>
    <col min="14081" max="14081" width="3" style="109" customWidth="1"/>
    <col min="14082" max="14082" width="76" style="109" customWidth="1"/>
    <col min="14083" max="14336" width="9.140625" style="109"/>
    <col min="14337" max="14337" width="3" style="109" customWidth="1"/>
    <col min="14338" max="14338" width="76" style="109" customWidth="1"/>
    <col min="14339" max="14592" width="9.140625" style="109"/>
    <col min="14593" max="14593" width="3" style="109" customWidth="1"/>
    <col min="14594" max="14594" width="76" style="109" customWidth="1"/>
    <col min="14595" max="14848" width="9.140625" style="109"/>
    <col min="14849" max="14849" width="3" style="109" customWidth="1"/>
    <col min="14850" max="14850" width="76" style="109" customWidth="1"/>
    <col min="14851" max="15104" width="9.140625" style="109"/>
    <col min="15105" max="15105" width="3" style="109" customWidth="1"/>
    <col min="15106" max="15106" width="76" style="109" customWidth="1"/>
    <col min="15107" max="15360" width="9.140625" style="109"/>
    <col min="15361" max="15361" width="3" style="109" customWidth="1"/>
    <col min="15362" max="15362" width="76" style="109" customWidth="1"/>
    <col min="15363" max="15616" width="9.140625" style="109"/>
    <col min="15617" max="15617" width="3" style="109" customWidth="1"/>
    <col min="15618" max="15618" width="76" style="109" customWidth="1"/>
    <col min="15619" max="15872" width="9.140625" style="109"/>
    <col min="15873" max="15873" width="3" style="109" customWidth="1"/>
    <col min="15874" max="15874" width="76" style="109" customWidth="1"/>
    <col min="15875" max="16128" width="9.140625" style="109"/>
    <col min="16129" max="16129" width="3" style="109" customWidth="1"/>
    <col min="16130" max="16130" width="76" style="109" customWidth="1"/>
    <col min="16131" max="16384" width="9.140625" style="109"/>
  </cols>
  <sheetData>
    <row r="1" spans="1:3" ht="32.1" customHeight="1">
      <c r="A1" s="106"/>
      <c r="B1" s="107" t="s">
        <v>111</v>
      </c>
      <c r="C1" s="108"/>
    </row>
    <row r="2" spans="1:3" ht="16.5">
      <c r="A2" s="106"/>
      <c r="B2" s="110"/>
      <c r="C2" s="108"/>
    </row>
    <row r="3" spans="1:3" ht="16.5">
      <c r="A3" s="106"/>
      <c r="B3" s="111" t="s">
        <v>102</v>
      </c>
      <c r="C3" s="108"/>
    </row>
    <row r="4" spans="1:3">
      <c r="A4" s="106"/>
      <c r="B4" s="117" t="s">
        <v>103</v>
      </c>
      <c r="C4" s="108"/>
    </row>
    <row r="5" spans="1:3" ht="16.5">
      <c r="A5" s="106"/>
      <c r="B5" s="112"/>
      <c r="C5" s="108"/>
    </row>
    <row r="6" spans="1:3" ht="16.5">
      <c r="A6" s="106"/>
      <c r="B6" s="113" t="s">
        <v>104</v>
      </c>
      <c r="C6" s="108"/>
    </row>
    <row r="7" spans="1:3" ht="16.5">
      <c r="A7" s="106"/>
      <c r="B7" s="112"/>
      <c r="C7" s="108"/>
    </row>
    <row r="8" spans="1:3" ht="46.5">
      <c r="A8" s="106"/>
      <c r="B8" s="112" t="s">
        <v>105</v>
      </c>
      <c r="C8" s="108"/>
    </row>
    <row r="9" spans="1:3" ht="16.5">
      <c r="A9" s="106"/>
      <c r="B9" s="112"/>
      <c r="C9" s="108"/>
    </row>
    <row r="10" spans="1:3" ht="31.5">
      <c r="A10" s="106"/>
      <c r="B10" s="112" t="s">
        <v>106</v>
      </c>
      <c r="C10" s="108"/>
    </row>
    <row r="11" spans="1:3" ht="16.5">
      <c r="A11" s="106"/>
      <c r="B11" s="112"/>
      <c r="C11" s="108"/>
    </row>
    <row r="12" spans="1:3" ht="31.5">
      <c r="A12" s="106"/>
      <c r="B12" s="112" t="s">
        <v>107</v>
      </c>
      <c r="C12" s="108"/>
    </row>
    <row r="13" spans="1:3" ht="16.5">
      <c r="A13" s="106"/>
      <c r="B13" s="112"/>
      <c r="C13" s="108"/>
    </row>
    <row r="14" spans="1:3">
      <c r="A14" s="106"/>
      <c r="B14" s="114" t="s">
        <v>108</v>
      </c>
      <c r="C14" s="108"/>
    </row>
    <row r="15" spans="1:3" ht="15.75">
      <c r="A15" s="106"/>
      <c r="B15" s="119" t="s">
        <v>109</v>
      </c>
      <c r="C15" s="108"/>
    </row>
    <row r="16" spans="1:3" ht="16.5">
      <c r="A16" s="106"/>
      <c r="B16" s="115"/>
      <c r="C16" s="108"/>
    </row>
    <row r="17" spans="1:3" ht="32.25">
      <c r="A17" s="106"/>
      <c r="B17" s="112" t="s">
        <v>110</v>
      </c>
      <c r="C17" s="108"/>
    </row>
    <row r="18" spans="1:3">
      <c r="A18" s="106"/>
      <c r="B18" s="106"/>
      <c r="C18" s="108"/>
    </row>
    <row r="19" spans="1:3">
      <c r="A19" s="106"/>
      <c r="B19" s="106"/>
      <c r="C19" s="108"/>
    </row>
    <row r="20" spans="1:3">
      <c r="A20" s="106"/>
      <c r="B20" s="106"/>
      <c r="C20" s="108"/>
    </row>
    <row r="21" spans="1:3">
      <c r="A21" s="106"/>
      <c r="B21" s="106"/>
      <c r="C21" s="108"/>
    </row>
    <row r="22" spans="1:3">
      <c r="A22" s="106"/>
      <c r="B22" s="106"/>
      <c r="C22" s="108"/>
    </row>
    <row r="23" spans="1:3">
      <c r="A23" s="106"/>
      <c r="B23" s="106"/>
      <c r="C23" s="108"/>
    </row>
    <row r="24" spans="1:3">
      <c r="A24" s="106"/>
      <c r="B24" s="106"/>
      <c r="C24" s="108"/>
    </row>
    <row r="25" spans="1:3">
      <c r="A25" s="106"/>
      <c r="B25" s="106"/>
      <c r="C25" s="108"/>
    </row>
    <row r="26" spans="1:3">
      <c r="A26" s="106"/>
      <c r="B26" s="106"/>
      <c r="C26" s="108"/>
    </row>
    <row r="27" spans="1:3">
      <c r="A27" s="106"/>
      <c r="B27" s="106"/>
      <c r="C27" s="108"/>
    </row>
    <row r="28" spans="1:3">
      <c r="A28" s="106"/>
      <c r="B28" s="106"/>
      <c r="C28" s="108"/>
    </row>
    <row r="29" spans="1:3">
      <c r="A29" s="106"/>
      <c r="B29" s="106"/>
      <c r="C29" s="108"/>
    </row>
  </sheetData>
  <hyperlinks>
    <hyperlink ref="B14" r:id="rId1" display="See License Agreement" xr:uid="{00000000-0004-0000-0600-000000000000}"/>
    <hyperlink ref="B4" r:id="rId2" tooltip="View online document" display="http://www.invoicingtemplate.com/singaporegst-service.html" xr:uid="{00000000-0004-0000-06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4FC87-BC2E-4C8A-90A1-4702E043B840}">
  <dimension ref="A1:AE260"/>
  <sheetViews>
    <sheetView showGridLines="0" showRowColHeaders="0" workbookViewId="0">
      <selection activeCell="C10" sqref="C10"/>
    </sheetView>
  </sheetViews>
  <sheetFormatPr defaultColWidth="9.140625" defaultRowHeight="12"/>
  <cols>
    <col min="1" max="1" width="1.28515625" style="21" customWidth="1"/>
    <col min="2" max="2" width="11.42578125" style="21" customWidth="1"/>
    <col min="3" max="3" width="10.5703125" style="135" customWidth="1"/>
    <col min="4" max="4" width="11.85546875" style="49" customWidth="1"/>
    <col min="5" max="5" width="9.28515625" style="34" customWidth="1"/>
    <col min="6" max="6" width="12.140625" style="21" hidden="1" customWidth="1"/>
    <col min="7" max="7" width="11.42578125" style="21" customWidth="1"/>
    <col min="8" max="8" width="12.140625" style="49" hidden="1" customWidth="1"/>
    <col min="9" max="9" width="11.28515625" style="49" hidden="1" customWidth="1"/>
    <col min="10" max="10" width="9.5703125" style="49" hidden="1" customWidth="1"/>
    <col min="11" max="11" width="10.140625" style="49" hidden="1" customWidth="1"/>
    <col min="12" max="12" width="16" style="49" customWidth="1"/>
    <col min="13" max="13" width="14.140625" style="49" customWidth="1"/>
    <col min="14" max="14" width="12.85546875" style="49" customWidth="1"/>
    <col min="15" max="15" width="11.42578125" style="34" hidden="1" customWidth="1"/>
    <col min="16" max="16" width="16.85546875" style="34" hidden="1" customWidth="1"/>
    <col min="17" max="17" width="0" style="21" hidden="1" customWidth="1"/>
    <col min="18" max="16384" width="9.140625" style="21"/>
  </cols>
  <sheetData>
    <row r="1" spans="1:31" s="130" customFormat="1" ht="3.75" customHeight="1">
      <c r="C1" s="131"/>
      <c r="D1" s="132"/>
      <c r="E1" s="133"/>
      <c r="H1" s="132"/>
      <c r="I1" s="132"/>
      <c r="J1" s="132"/>
      <c r="K1" s="132"/>
      <c r="L1" s="132"/>
      <c r="M1" s="132"/>
      <c r="N1" s="132"/>
      <c r="O1" s="133"/>
      <c r="P1" s="133"/>
    </row>
    <row r="2" spans="1:31" s="134" customFormat="1" ht="57"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31" ht="6.75" customHeight="1"/>
    <row r="4" spans="1:31" s="136" customFormat="1" ht="33" customHeight="1">
      <c r="B4" s="137" t="str">
        <f>oknCompanyName</f>
        <v>Singapore service company name</v>
      </c>
      <c r="C4" s="138"/>
      <c r="D4" s="139"/>
      <c r="E4" s="140"/>
      <c r="H4" s="139"/>
      <c r="I4" s="139"/>
      <c r="J4" s="141"/>
      <c r="K4" s="139"/>
      <c r="L4" s="142"/>
      <c r="M4" s="221" t="s">
        <v>117</v>
      </c>
      <c r="N4" s="221"/>
      <c r="O4" s="140"/>
      <c r="P4" s="140"/>
    </row>
    <row r="5" spans="1:31" ht="18" customHeight="1">
      <c r="B5" s="21" t="str">
        <f>oknCompanyAddress</f>
        <v>Address</v>
      </c>
    </row>
    <row r="6" spans="1:31" ht="18" customHeight="1">
      <c r="B6" s="21" t="str">
        <f>oknCompanyCityStateZip</f>
        <v>City, State ZIP</v>
      </c>
      <c r="M6" s="143"/>
    </row>
    <row r="7" spans="1:31" ht="18" customHeight="1">
      <c r="B7" s="21" t="str">
        <f>oknCompanyContact</f>
        <v>Phone</v>
      </c>
    </row>
    <row r="8" spans="1:31" ht="18" customHeight="1">
      <c r="K8" s="144"/>
    </row>
    <row r="9" spans="1:31" ht="18" customHeight="1">
      <c r="B9" s="145" t="s">
        <v>35</v>
      </c>
    </row>
    <row r="10" spans="1:31" ht="18" customHeight="1">
      <c r="B10" s="146" t="s">
        <v>33</v>
      </c>
      <c r="C10" s="147"/>
      <c r="D10"/>
      <c r="E10"/>
      <c r="F10"/>
      <c r="G10"/>
      <c r="H10"/>
      <c r="I10"/>
      <c r="J10"/>
      <c r="K10"/>
      <c r="L10"/>
      <c r="M10"/>
      <c r="N10"/>
    </row>
    <row r="11" spans="1:31" ht="18" customHeight="1">
      <c r="B11" s="146" t="s">
        <v>34</v>
      </c>
      <c r="C11" s="147"/>
      <c r="D11"/>
      <c r="E11"/>
      <c r="F11"/>
      <c r="G11"/>
      <c r="H11"/>
      <c r="I11"/>
      <c r="J11"/>
      <c r="K11"/>
      <c r="L11"/>
      <c r="M11"/>
      <c r="N11"/>
    </row>
    <row r="12" spans="1:31" ht="4.5" customHeight="1"/>
    <row r="13" spans="1:31" s="34" customFormat="1" ht="15.75" customHeight="1">
      <c r="B13" s="148" t="s">
        <v>53</v>
      </c>
      <c r="C13" s="149" t="s">
        <v>32</v>
      </c>
      <c r="D13" s="150" t="s">
        <v>52</v>
      </c>
      <c r="E13" s="151" t="s">
        <v>36</v>
      </c>
      <c r="F13" s="151" t="s">
        <v>43</v>
      </c>
      <c r="G13" s="151" t="s">
        <v>44</v>
      </c>
      <c r="H13" s="150" t="s">
        <v>37</v>
      </c>
      <c r="I13" s="150" t="s">
        <v>38</v>
      </c>
      <c r="J13" s="150" t="str">
        <f>oknTax1Name</f>
        <v>GST</v>
      </c>
      <c r="K13" s="150" t="str">
        <f>oknTax2Name</f>
        <v>GST</v>
      </c>
      <c r="L13" s="150" t="s">
        <v>39</v>
      </c>
      <c r="M13" s="150" t="s">
        <v>40</v>
      </c>
      <c r="N13" s="150" t="s">
        <v>41</v>
      </c>
      <c r="O13" s="37" t="s">
        <v>42</v>
      </c>
      <c r="P13" s="37" t="s">
        <v>54</v>
      </c>
      <c r="Q13" s="48" t="s">
        <v>91</v>
      </c>
    </row>
    <row r="14" spans="1:31">
      <c r="B14" s="152"/>
    </row>
    <row r="15" spans="1:31">
      <c r="B15" s="152"/>
    </row>
    <row r="16" spans="1:31">
      <c r="B16" s="152"/>
    </row>
    <row r="17" spans="2:2">
      <c r="B17" s="152"/>
    </row>
    <row r="18" spans="2:2">
      <c r="B18" s="152"/>
    </row>
    <row r="19" spans="2:2">
      <c r="B19" s="152"/>
    </row>
    <row r="20" spans="2:2">
      <c r="B20" s="152"/>
    </row>
    <row r="21" spans="2:2">
      <c r="B21" s="152"/>
    </row>
    <row r="22" spans="2:2">
      <c r="B22" s="152"/>
    </row>
    <row r="23" spans="2:2">
      <c r="B23" s="152"/>
    </row>
    <row r="24" spans="2:2">
      <c r="B24" s="152"/>
    </row>
    <row r="25" spans="2:2">
      <c r="B25" s="152"/>
    </row>
    <row r="26" spans="2:2">
      <c r="B26" s="152"/>
    </row>
    <row r="27" spans="2:2">
      <c r="B27" s="152"/>
    </row>
    <row r="28" spans="2:2">
      <c r="B28" s="152"/>
    </row>
    <row r="29" spans="2:2">
      <c r="B29" s="152"/>
    </row>
    <row r="30" spans="2:2">
      <c r="B30" s="152"/>
    </row>
    <row r="31" spans="2:2">
      <c r="B31" s="152"/>
    </row>
    <row r="32" spans="2:2">
      <c r="B32" s="152"/>
    </row>
    <row r="33" spans="2:2">
      <c r="B33" s="152"/>
    </row>
    <row r="34" spans="2:2">
      <c r="B34" s="152"/>
    </row>
    <row r="35" spans="2:2">
      <c r="B35" s="152"/>
    </row>
    <row r="36" spans="2:2">
      <c r="B36" s="152"/>
    </row>
    <row r="37" spans="2:2">
      <c r="B37" s="152"/>
    </row>
    <row r="38" spans="2:2">
      <c r="B38" s="152"/>
    </row>
    <row r="39" spans="2:2">
      <c r="B39" s="152"/>
    </row>
    <row r="40" spans="2:2">
      <c r="B40" s="152"/>
    </row>
    <row r="41" spans="2:2">
      <c r="B41" s="152"/>
    </row>
    <row r="42" spans="2:2">
      <c r="B42" s="152"/>
    </row>
    <row r="43" spans="2:2">
      <c r="B43" s="152"/>
    </row>
    <row r="44" spans="2:2">
      <c r="B44" s="152"/>
    </row>
    <row r="45" spans="2:2">
      <c r="B45" s="152"/>
    </row>
    <row r="46" spans="2:2">
      <c r="B46" s="152"/>
    </row>
    <row r="47" spans="2:2">
      <c r="B47" s="152"/>
    </row>
    <row r="48" spans="2:2">
      <c r="B48" s="152"/>
    </row>
    <row r="49" spans="2:2">
      <c r="B49" s="152"/>
    </row>
    <row r="50" spans="2:2">
      <c r="B50" s="152"/>
    </row>
    <row r="51" spans="2:2">
      <c r="B51" s="152"/>
    </row>
    <row r="52" spans="2:2">
      <c r="B52" s="152"/>
    </row>
    <row r="53" spans="2:2">
      <c r="B53" s="152"/>
    </row>
    <row r="54" spans="2:2">
      <c r="B54" s="152"/>
    </row>
    <row r="55" spans="2:2">
      <c r="B55" s="152"/>
    </row>
    <row r="56" spans="2:2">
      <c r="B56" s="152"/>
    </row>
    <row r="57" spans="2:2">
      <c r="B57" s="152"/>
    </row>
    <row r="58" spans="2:2">
      <c r="B58" s="152"/>
    </row>
    <row r="59" spans="2:2">
      <c r="B59" s="152"/>
    </row>
    <row r="60" spans="2:2">
      <c r="B60" s="152"/>
    </row>
    <row r="61" spans="2:2">
      <c r="B61" s="152"/>
    </row>
    <row r="62" spans="2:2">
      <c r="B62" s="152"/>
    </row>
    <row r="63" spans="2:2">
      <c r="B63" s="152"/>
    </row>
    <row r="64" spans="2:2">
      <c r="B64" s="152"/>
    </row>
    <row r="65" spans="2:2">
      <c r="B65" s="152"/>
    </row>
    <row r="66" spans="2:2">
      <c r="B66" s="152"/>
    </row>
    <row r="67" spans="2:2">
      <c r="B67" s="152"/>
    </row>
    <row r="68" spans="2:2">
      <c r="B68" s="152"/>
    </row>
    <row r="69" spans="2:2">
      <c r="B69" s="152"/>
    </row>
    <row r="70" spans="2:2">
      <c r="B70" s="152"/>
    </row>
    <row r="71" spans="2:2">
      <c r="B71" s="152"/>
    </row>
    <row r="72" spans="2:2">
      <c r="B72" s="152"/>
    </row>
    <row r="73" spans="2:2">
      <c r="B73" s="152"/>
    </row>
    <row r="74" spans="2:2">
      <c r="B74" s="152"/>
    </row>
    <row r="75" spans="2:2">
      <c r="B75" s="152"/>
    </row>
    <row r="76" spans="2:2">
      <c r="B76" s="152"/>
    </row>
    <row r="77" spans="2:2">
      <c r="B77" s="152"/>
    </row>
    <row r="78" spans="2:2">
      <c r="B78" s="152"/>
    </row>
    <row r="79" spans="2:2">
      <c r="B79" s="152"/>
    </row>
    <row r="80" spans="2:2">
      <c r="B80" s="152"/>
    </row>
    <row r="81" spans="2:2">
      <c r="B81" s="152"/>
    </row>
    <row r="82" spans="2:2">
      <c r="B82" s="152"/>
    </row>
    <row r="83" spans="2:2">
      <c r="B83" s="152"/>
    </row>
    <row r="84" spans="2:2">
      <c r="B84" s="152"/>
    </row>
    <row r="85" spans="2:2">
      <c r="B85" s="152"/>
    </row>
    <row r="86" spans="2:2">
      <c r="B86" s="152"/>
    </row>
    <row r="87" spans="2:2">
      <c r="B87" s="152"/>
    </row>
    <row r="88" spans="2:2">
      <c r="B88" s="152"/>
    </row>
    <row r="89" spans="2:2">
      <c r="B89" s="152"/>
    </row>
    <row r="90" spans="2:2">
      <c r="B90" s="152"/>
    </row>
    <row r="91" spans="2:2">
      <c r="B91" s="152"/>
    </row>
    <row r="92" spans="2:2">
      <c r="B92" s="152"/>
    </row>
    <row r="93" spans="2:2">
      <c r="B93" s="152"/>
    </row>
    <row r="94" spans="2:2">
      <c r="B94" s="152"/>
    </row>
    <row r="95" spans="2:2">
      <c r="B95" s="152"/>
    </row>
    <row r="96" spans="2:2">
      <c r="B96" s="152"/>
    </row>
    <row r="97" spans="2:2">
      <c r="B97" s="152"/>
    </row>
    <row r="98" spans="2:2">
      <c r="B98" s="152"/>
    </row>
    <row r="99" spans="2:2">
      <c r="B99" s="152"/>
    </row>
    <row r="100" spans="2:2">
      <c r="B100" s="152"/>
    </row>
    <row r="101" spans="2:2">
      <c r="B101" s="152"/>
    </row>
    <row r="102" spans="2:2">
      <c r="B102" s="152"/>
    </row>
    <row r="103" spans="2:2">
      <c r="B103" s="152"/>
    </row>
    <row r="104" spans="2:2">
      <c r="B104" s="152"/>
    </row>
    <row r="105" spans="2:2">
      <c r="B105" s="152"/>
    </row>
    <row r="106" spans="2:2">
      <c r="B106" s="152"/>
    </row>
    <row r="107" spans="2:2">
      <c r="B107" s="152"/>
    </row>
    <row r="108" spans="2:2">
      <c r="B108" s="152"/>
    </row>
    <row r="109" spans="2:2">
      <c r="B109" s="152"/>
    </row>
    <row r="110" spans="2:2">
      <c r="B110" s="152"/>
    </row>
    <row r="111" spans="2:2">
      <c r="B111" s="152"/>
    </row>
    <row r="112" spans="2:2">
      <c r="B112" s="152"/>
    </row>
    <row r="113" spans="2:2">
      <c r="B113" s="152"/>
    </row>
    <row r="114" spans="2:2">
      <c r="B114" s="152"/>
    </row>
    <row r="115" spans="2:2">
      <c r="B115" s="152"/>
    </row>
    <row r="116" spans="2:2">
      <c r="B116" s="152"/>
    </row>
    <row r="117" spans="2:2">
      <c r="B117" s="152"/>
    </row>
    <row r="118" spans="2:2">
      <c r="B118" s="152"/>
    </row>
    <row r="119" spans="2:2">
      <c r="B119" s="152"/>
    </row>
    <row r="120" spans="2:2">
      <c r="B120" s="152"/>
    </row>
    <row r="121" spans="2:2">
      <c r="B121" s="152"/>
    </row>
    <row r="122" spans="2:2">
      <c r="B122" s="152"/>
    </row>
    <row r="123" spans="2:2">
      <c r="B123" s="152"/>
    </row>
    <row r="124" spans="2:2">
      <c r="B124" s="152"/>
    </row>
    <row r="125" spans="2:2">
      <c r="B125" s="152"/>
    </row>
    <row r="126" spans="2:2">
      <c r="B126" s="152"/>
    </row>
    <row r="127" spans="2:2">
      <c r="B127" s="152"/>
    </row>
    <row r="128" spans="2:2">
      <c r="B128" s="152"/>
    </row>
    <row r="129" spans="2:2">
      <c r="B129" s="152"/>
    </row>
    <row r="130" spans="2:2">
      <c r="B130" s="152"/>
    </row>
    <row r="131" spans="2:2">
      <c r="B131" s="152"/>
    </row>
    <row r="132" spans="2:2">
      <c r="B132" s="152"/>
    </row>
    <row r="133" spans="2:2">
      <c r="B133" s="152"/>
    </row>
    <row r="134" spans="2:2">
      <c r="B134" s="152"/>
    </row>
    <row r="135" spans="2:2">
      <c r="B135" s="152"/>
    </row>
    <row r="136" spans="2:2">
      <c r="B136" s="152"/>
    </row>
    <row r="137" spans="2:2">
      <c r="B137" s="152"/>
    </row>
    <row r="138" spans="2:2">
      <c r="B138" s="152"/>
    </row>
    <row r="139" spans="2:2">
      <c r="B139" s="152"/>
    </row>
    <row r="140" spans="2:2">
      <c r="B140" s="152"/>
    </row>
    <row r="141" spans="2:2">
      <c r="B141" s="152"/>
    </row>
    <row r="142" spans="2:2">
      <c r="B142" s="152"/>
    </row>
    <row r="143" spans="2:2">
      <c r="B143" s="152"/>
    </row>
    <row r="144" spans="2:2">
      <c r="B144" s="152"/>
    </row>
    <row r="145" spans="2:2">
      <c r="B145" s="152"/>
    </row>
    <row r="146" spans="2:2">
      <c r="B146" s="152"/>
    </row>
    <row r="147" spans="2:2">
      <c r="B147" s="152"/>
    </row>
    <row r="148" spans="2:2">
      <c r="B148" s="152"/>
    </row>
    <row r="149" spans="2:2">
      <c r="B149" s="152"/>
    </row>
    <row r="150" spans="2:2">
      <c r="B150" s="152"/>
    </row>
    <row r="151" spans="2:2">
      <c r="B151" s="152"/>
    </row>
    <row r="152" spans="2:2">
      <c r="B152" s="152"/>
    </row>
    <row r="153" spans="2:2">
      <c r="B153" s="152"/>
    </row>
    <row r="154" spans="2:2">
      <c r="B154" s="152"/>
    </row>
    <row r="155" spans="2:2">
      <c r="B155" s="152"/>
    </row>
    <row r="156" spans="2:2">
      <c r="B156" s="152"/>
    </row>
    <row r="157" spans="2:2">
      <c r="B157" s="152"/>
    </row>
    <row r="158" spans="2:2">
      <c r="B158" s="152"/>
    </row>
    <row r="159" spans="2:2">
      <c r="B159" s="152"/>
    </row>
    <row r="160" spans="2:2">
      <c r="B160" s="152"/>
    </row>
    <row r="161" spans="2:2">
      <c r="B161" s="152"/>
    </row>
    <row r="162" spans="2:2">
      <c r="B162" s="152"/>
    </row>
    <row r="163" spans="2:2">
      <c r="B163" s="152"/>
    </row>
    <row r="164" spans="2:2">
      <c r="B164" s="152"/>
    </row>
    <row r="165" spans="2:2">
      <c r="B165" s="152"/>
    </row>
    <row r="166" spans="2:2">
      <c r="B166" s="152"/>
    </row>
    <row r="167" spans="2:2">
      <c r="B167" s="152"/>
    </row>
    <row r="168" spans="2:2">
      <c r="B168" s="152"/>
    </row>
    <row r="169" spans="2:2">
      <c r="B169" s="152"/>
    </row>
    <row r="170" spans="2:2">
      <c r="B170" s="152"/>
    </row>
    <row r="171" spans="2:2">
      <c r="B171" s="152"/>
    </row>
    <row r="172" spans="2:2">
      <c r="B172" s="152"/>
    </row>
    <row r="173" spans="2:2">
      <c r="B173" s="152"/>
    </row>
    <row r="174" spans="2:2">
      <c r="B174" s="152"/>
    </row>
    <row r="175" spans="2:2">
      <c r="B175" s="152"/>
    </row>
    <row r="176" spans="2:2">
      <c r="B176" s="152"/>
    </row>
    <row r="177" spans="2:2">
      <c r="B177" s="152"/>
    </row>
    <row r="178" spans="2:2">
      <c r="B178" s="152"/>
    </row>
    <row r="179" spans="2:2">
      <c r="B179" s="152"/>
    </row>
    <row r="180" spans="2:2">
      <c r="B180" s="152"/>
    </row>
    <row r="181" spans="2:2">
      <c r="B181" s="152"/>
    </row>
    <row r="182" spans="2:2">
      <c r="B182" s="152"/>
    </row>
    <row r="183" spans="2:2">
      <c r="B183" s="152"/>
    </row>
    <row r="184" spans="2:2">
      <c r="B184" s="152"/>
    </row>
    <row r="185" spans="2:2">
      <c r="B185" s="152"/>
    </row>
    <row r="186" spans="2:2">
      <c r="B186" s="152"/>
    </row>
    <row r="187" spans="2:2">
      <c r="B187" s="152"/>
    </row>
    <row r="188" spans="2:2">
      <c r="B188" s="152"/>
    </row>
    <row r="189" spans="2:2">
      <c r="B189" s="152"/>
    </row>
    <row r="190" spans="2:2">
      <c r="B190" s="152"/>
    </row>
    <row r="191" spans="2:2">
      <c r="B191" s="152"/>
    </row>
    <row r="192" spans="2:2">
      <c r="B192" s="152"/>
    </row>
    <row r="193" spans="2:2">
      <c r="B193" s="152"/>
    </row>
    <row r="194" spans="2:2">
      <c r="B194" s="152"/>
    </row>
    <row r="195" spans="2:2">
      <c r="B195" s="152"/>
    </row>
    <row r="196" spans="2:2">
      <c r="B196" s="152"/>
    </row>
    <row r="197" spans="2:2">
      <c r="B197" s="152"/>
    </row>
    <row r="198" spans="2:2">
      <c r="B198" s="152"/>
    </row>
    <row r="199" spans="2:2">
      <c r="B199" s="152"/>
    </row>
    <row r="200" spans="2:2">
      <c r="B200" s="152"/>
    </row>
    <row r="201" spans="2:2">
      <c r="B201" s="152"/>
    </row>
    <row r="202" spans="2:2">
      <c r="B202" s="152"/>
    </row>
    <row r="203" spans="2:2">
      <c r="B203" s="152"/>
    </row>
    <row r="204" spans="2:2">
      <c r="B204" s="152"/>
    </row>
    <row r="205" spans="2:2">
      <c r="B205" s="152"/>
    </row>
    <row r="206" spans="2:2">
      <c r="B206" s="152"/>
    </row>
    <row r="207" spans="2:2">
      <c r="B207" s="152"/>
    </row>
    <row r="208" spans="2:2">
      <c r="B208" s="152"/>
    </row>
    <row r="209" spans="2:2">
      <c r="B209" s="152"/>
    </row>
    <row r="210" spans="2:2">
      <c r="B210" s="152"/>
    </row>
    <row r="211" spans="2:2">
      <c r="B211" s="152"/>
    </row>
    <row r="212" spans="2:2">
      <c r="B212" s="152"/>
    </row>
    <row r="213" spans="2:2">
      <c r="B213" s="152"/>
    </row>
    <row r="214" spans="2:2">
      <c r="B214" s="152"/>
    </row>
    <row r="215" spans="2:2">
      <c r="B215" s="152"/>
    </row>
    <row r="216" spans="2:2">
      <c r="B216" s="152"/>
    </row>
    <row r="217" spans="2:2">
      <c r="B217" s="152"/>
    </row>
    <row r="218" spans="2:2">
      <c r="B218" s="152"/>
    </row>
    <row r="219" spans="2:2">
      <c r="B219" s="152"/>
    </row>
    <row r="220" spans="2:2">
      <c r="B220" s="152"/>
    </row>
    <row r="221" spans="2:2">
      <c r="B221" s="152"/>
    </row>
    <row r="222" spans="2:2">
      <c r="B222" s="152"/>
    </row>
    <row r="223" spans="2:2">
      <c r="B223" s="152"/>
    </row>
    <row r="224" spans="2:2">
      <c r="B224" s="152"/>
    </row>
    <row r="225" spans="2:2">
      <c r="B225" s="152"/>
    </row>
    <row r="226" spans="2:2">
      <c r="B226" s="152"/>
    </row>
    <row r="227" spans="2:2">
      <c r="B227" s="152"/>
    </row>
    <row r="228" spans="2:2">
      <c r="B228" s="152"/>
    </row>
    <row r="229" spans="2:2">
      <c r="B229" s="152"/>
    </row>
    <row r="230" spans="2:2">
      <c r="B230" s="152"/>
    </row>
    <row r="231" spans="2:2">
      <c r="B231" s="152"/>
    </row>
    <row r="232" spans="2:2">
      <c r="B232" s="152"/>
    </row>
    <row r="233" spans="2:2">
      <c r="B233" s="152"/>
    </row>
    <row r="234" spans="2:2">
      <c r="B234" s="152"/>
    </row>
    <row r="235" spans="2:2">
      <c r="B235" s="152"/>
    </row>
    <row r="236" spans="2:2">
      <c r="B236" s="152"/>
    </row>
    <row r="237" spans="2:2">
      <c r="B237" s="152"/>
    </row>
    <row r="238" spans="2:2">
      <c r="B238" s="152"/>
    </row>
    <row r="239" spans="2:2">
      <c r="B239" s="152"/>
    </row>
    <row r="240" spans="2:2">
      <c r="B240" s="152"/>
    </row>
    <row r="241" spans="2:2">
      <c r="B241" s="152"/>
    </row>
    <row r="242" spans="2:2">
      <c r="B242" s="152"/>
    </row>
    <row r="243" spans="2:2">
      <c r="B243" s="152"/>
    </row>
    <row r="244" spans="2:2">
      <c r="B244" s="152"/>
    </row>
    <row r="245" spans="2:2">
      <c r="B245" s="152"/>
    </row>
    <row r="246" spans="2:2">
      <c r="B246" s="152"/>
    </row>
    <row r="247" spans="2:2">
      <c r="B247" s="152"/>
    </row>
    <row r="248" spans="2:2">
      <c r="B248" s="152"/>
    </row>
    <row r="249" spans="2:2">
      <c r="B249" s="152"/>
    </row>
    <row r="250" spans="2:2">
      <c r="B250" s="152"/>
    </row>
    <row r="251" spans="2:2">
      <c r="B251" s="152"/>
    </row>
    <row r="252" spans="2:2">
      <c r="B252" s="152"/>
    </row>
    <row r="253" spans="2:2">
      <c r="B253" s="152"/>
    </row>
    <row r="254" spans="2:2">
      <c r="B254" s="152"/>
    </row>
    <row r="255" spans="2:2">
      <c r="B255" s="152"/>
    </row>
    <row r="256" spans="2:2">
      <c r="B256" s="152"/>
    </row>
    <row r="257" spans="2:2">
      <c r="B257" s="152"/>
    </row>
    <row r="258" spans="2:2">
      <c r="B258" s="152"/>
    </row>
    <row r="259" spans="2:2">
      <c r="B259" s="152"/>
    </row>
    <row r="260" spans="2:2">
      <c r="B260" s="152"/>
    </row>
  </sheetData>
  <mergeCells count="2">
    <mergeCell ref="A2:AE2"/>
    <mergeCell ref="M4:N4"/>
  </mergeCells>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22011-2C4B-449E-A23A-1101F41C07EE}">
  <dimension ref="A1:AE12"/>
  <sheetViews>
    <sheetView showGridLines="0" showRowColHeaders="0" workbookViewId="0">
      <pane xSplit="1" ySplit="12" topLeftCell="B13" activePane="bottomRight" state="frozen"/>
      <selection pane="topRight" activeCell="B1" sqref="B1"/>
      <selection pane="bottomLeft" activeCell="A12" sqref="A12"/>
      <selection pane="bottomRight" activeCell="C9" sqref="C9"/>
    </sheetView>
  </sheetViews>
  <sheetFormatPr defaultColWidth="9.140625" defaultRowHeight="12"/>
  <cols>
    <col min="1" max="1" width="0.7109375" style="21" customWidth="1"/>
    <col min="2" max="2" width="13.28515625" style="21" customWidth="1"/>
    <col min="3" max="3" width="11.42578125" style="135" customWidth="1"/>
    <col min="4" max="4" width="25.5703125" style="36" customWidth="1"/>
    <col min="5" max="5" width="10.42578125" style="34" customWidth="1"/>
    <col min="6" max="6" width="12.28515625" style="49" hidden="1" customWidth="1"/>
    <col min="7" max="7" width="9.42578125" style="49" hidden="1" customWidth="1"/>
    <col min="8" max="8" width="7.5703125" style="49" hidden="1" customWidth="1"/>
    <col min="9" max="9" width="14.5703125" style="49" hidden="1" customWidth="1"/>
    <col min="10" max="10" width="11.28515625" style="49" customWidth="1"/>
    <col min="11" max="11" width="12.5703125" style="49" customWidth="1"/>
    <col min="12" max="12" width="11.5703125" style="49" hidden="1" customWidth="1"/>
    <col min="13" max="13" width="11.42578125" style="49" customWidth="1"/>
    <col min="14" max="14" width="11.140625" style="34" hidden="1" customWidth="1"/>
    <col min="15" max="15" width="13.28515625" style="34" hidden="1" customWidth="1"/>
    <col min="16" max="16" width="12.42578125" style="34" hidden="1" customWidth="1"/>
    <col min="17" max="17" width="16" style="34" hidden="1" customWidth="1"/>
    <col min="18" max="16384" width="9.140625" style="21"/>
  </cols>
  <sheetData>
    <row r="1" spans="1:31" s="130" customFormat="1" ht="3.75" customHeight="1">
      <c r="C1" s="131"/>
      <c r="D1" s="132"/>
      <c r="E1" s="133"/>
      <c r="H1" s="132"/>
      <c r="I1" s="132"/>
      <c r="J1" s="132"/>
      <c r="K1" s="132"/>
      <c r="L1" s="132"/>
      <c r="M1" s="132"/>
      <c r="N1" s="132"/>
      <c r="O1" s="133"/>
      <c r="P1" s="133"/>
    </row>
    <row r="2" spans="1:31" s="134" customFormat="1" ht="57"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31" ht="3.75" customHeight="1"/>
    <row r="4" spans="1:31" s="153" customFormat="1" ht="33" customHeight="1">
      <c r="B4" s="154" t="str">
        <f>oknCompanyName</f>
        <v>Singapore service company name</v>
      </c>
      <c r="C4" s="155"/>
      <c r="D4" s="156"/>
      <c r="E4" s="157"/>
      <c r="F4" s="158"/>
      <c r="G4" s="158"/>
      <c r="H4" s="158"/>
      <c r="I4" s="158"/>
      <c r="J4" s="222" t="s">
        <v>118</v>
      </c>
      <c r="K4" s="222"/>
      <c r="L4" s="222"/>
      <c r="M4" s="222"/>
      <c r="N4" s="157"/>
      <c r="O4" s="157"/>
      <c r="P4" s="157"/>
      <c r="Q4" s="157"/>
    </row>
    <row r="5" spans="1:31">
      <c r="B5" s="21" t="str">
        <f>oknCompanyAddress</f>
        <v>Address</v>
      </c>
    </row>
    <row r="6" spans="1:31">
      <c r="B6" s="21" t="str">
        <f>oknCompanyCityStateZip</f>
        <v>City, State ZIP</v>
      </c>
      <c r="M6" s="143"/>
    </row>
    <row r="7" spans="1:31">
      <c r="B7" s="21" t="str">
        <f>oknCompanyContact</f>
        <v>Phone</v>
      </c>
    </row>
    <row r="8" spans="1:31" ht="21" customHeight="1">
      <c r="B8" s="145" t="s">
        <v>35</v>
      </c>
      <c r="K8" s="144"/>
    </row>
    <row r="9" spans="1:31" ht="11.25" customHeight="1">
      <c r="B9" s="146" t="s">
        <v>33</v>
      </c>
      <c r="C9" s="147"/>
    </row>
    <row r="10" spans="1:31">
      <c r="B10" s="146" t="s">
        <v>34</v>
      </c>
      <c r="C10" s="147"/>
    </row>
    <row r="11" spans="1:31" ht="4.5" customHeight="1"/>
    <row r="12" spans="1:31" s="34" customFormat="1" ht="15.75" customHeight="1">
      <c r="B12" s="159" t="s">
        <v>55</v>
      </c>
      <c r="C12" s="160" t="s">
        <v>32</v>
      </c>
      <c r="D12" s="159" t="s">
        <v>56</v>
      </c>
      <c r="E12" s="159" t="s">
        <v>36</v>
      </c>
      <c r="F12" s="161" t="s">
        <v>52</v>
      </c>
      <c r="G12" s="161" t="str">
        <f>oknTax1Name</f>
        <v>GST</v>
      </c>
      <c r="H12" s="161" t="str">
        <f>oknTax2Name</f>
        <v>GST</v>
      </c>
      <c r="I12" s="161" t="s">
        <v>57</v>
      </c>
      <c r="J12" s="161" t="s">
        <v>40</v>
      </c>
      <c r="K12" s="161" t="s">
        <v>41</v>
      </c>
      <c r="L12" s="161" t="s">
        <v>37</v>
      </c>
      <c r="M12" s="161" t="s">
        <v>39</v>
      </c>
      <c r="N12" s="37" t="s">
        <v>42</v>
      </c>
      <c r="O12" s="37" t="s">
        <v>43</v>
      </c>
      <c r="P12" s="37" t="s">
        <v>44</v>
      </c>
      <c r="Q12" s="37" t="s">
        <v>54</v>
      </c>
    </row>
  </sheetData>
  <mergeCells count="2">
    <mergeCell ref="A2:AE2"/>
    <mergeCell ref="J4:M4"/>
  </mergeCells>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A89F-A44C-4AFF-B28E-AC65E4E8929F}">
  <dimension ref="A1:AE12"/>
  <sheetViews>
    <sheetView showGridLines="0" showRowColHeaders="0" workbookViewId="0">
      <pane xSplit="1" ySplit="12" topLeftCell="B13" activePane="bottomRight" state="frozen"/>
      <selection pane="topRight" activeCell="B1" sqref="B1"/>
      <selection pane="bottomLeft" activeCell="A13" sqref="A13"/>
      <selection pane="bottomRight" activeCell="C9" sqref="C9"/>
    </sheetView>
  </sheetViews>
  <sheetFormatPr defaultColWidth="9.140625" defaultRowHeight="12"/>
  <cols>
    <col min="1" max="1" width="1" style="21" customWidth="1"/>
    <col min="2" max="2" width="13.5703125" style="21" customWidth="1"/>
    <col min="3" max="3" width="13.42578125" style="135" customWidth="1"/>
    <col min="4" max="4" width="10.5703125" style="36" customWidth="1"/>
    <col min="5" max="5" width="17.85546875" style="36" customWidth="1"/>
    <col min="6" max="6" width="9.42578125" style="21" customWidth="1"/>
    <col min="7" max="7" width="9.140625" style="35"/>
    <col min="8" max="9" width="10.5703125" style="35" customWidth="1"/>
    <col min="10" max="16384" width="9.140625" style="21"/>
  </cols>
  <sheetData>
    <row r="1" spans="1:31" s="130" customFormat="1" ht="3.75" customHeight="1">
      <c r="C1" s="131"/>
      <c r="D1" s="132"/>
      <c r="E1" s="133"/>
      <c r="H1" s="132"/>
      <c r="I1" s="132"/>
      <c r="J1" s="132"/>
      <c r="K1" s="132"/>
      <c r="L1" s="132"/>
      <c r="M1" s="132"/>
      <c r="N1" s="132"/>
      <c r="O1" s="133"/>
      <c r="P1" s="133"/>
    </row>
    <row r="2" spans="1:31" s="134" customFormat="1" ht="57"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31" ht="4.5" customHeight="1"/>
    <row r="4" spans="1:31" s="153" customFormat="1" ht="33" customHeight="1">
      <c r="B4" s="153" t="str">
        <f>oknCompanyName</f>
        <v>Singapore service company name</v>
      </c>
      <c r="C4" s="155"/>
      <c r="D4" s="156"/>
      <c r="E4" s="156"/>
      <c r="G4" s="223" t="s">
        <v>119</v>
      </c>
      <c r="H4" s="223"/>
      <c r="I4" s="223"/>
      <c r="L4" s="162"/>
    </row>
    <row r="5" spans="1:31">
      <c r="B5" s="21" t="str">
        <f>oknCompanyAddress</f>
        <v>Address</v>
      </c>
    </row>
    <row r="6" spans="1:31">
      <c r="B6" s="21" t="str">
        <f>oknCompanyCityStateZip</f>
        <v>City, State ZIP</v>
      </c>
      <c r="L6" s="163"/>
    </row>
    <row r="7" spans="1:31">
      <c r="B7" s="21" t="str">
        <f>oknCompanyContact</f>
        <v>Phone</v>
      </c>
      <c r="L7" s="50"/>
    </row>
    <row r="8" spans="1:31" ht="21" customHeight="1">
      <c r="B8" s="145" t="s">
        <v>35</v>
      </c>
      <c r="J8" s="52"/>
      <c r="K8" s="50"/>
      <c r="L8" s="50"/>
    </row>
    <row r="9" spans="1:31" ht="13.5" customHeight="1">
      <c r="B9" s="146" t="s">
        <v>33</v>
      </c>
      <c r="C9" s="51"/>
    </row>
    <row r="10" spans="1:31">
      <c r="B10" s="146" t="s">
        <v>34</v>
      </c>
      <c r="C10" s="51"/>
      <c r="D10" s="21"/>
      <c r="J10" s="53"/>
      <c r="K10" s="53"/>
      <c r="L10" s="53"/>
    </row>
    <row r="11" spans="1:31" ht="4.5" customHeight="1"/>
    <row r="12" spans="1:31" s="34" customFormat="1" ht="15.75" customHeight="1">
      <c r="B12" s="151" t="s">
        <v>58</v>
      </c>
      <c r="C12" s="149" t="s">
        <v>32</v>
      </c>
      <c r="D12" s="151" t="s">
        <v>36</v>
      </c>
      <c r="E12" s="151" t="s">
        <v>59</v>
      </c>
      <c r="F12" s="151" t="s">
        <v>13</v>
      </c>
      <c r="G12" s="164" t="s">
        <v>12</v>
      </c>
      <c r="H12" s="164" t="s">
        <v>60</v>
      </c>
      <c r="I12" s="164" t="s">
        <v>61</v>
      </c>
    </row>
  </sheetData>
  <mergeCells count="2">
    <mergeCell ref="A2:AE2"/>
    <mergeCell ref="G4:I4"/>
  </mergeCells>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0047-75D8-4A61-9679-891BF2909B37}">
  <dimension ref="A1:AE25"/>
  <sheetViews>
    <sheetView showGridLines="0" showRowColHeaders="0" workbookViewId="0">
      <pane ySplit="3" topLeftCell="A4" activePane="bottomLeft" state="frozen"/>
      <selection pane="bottomLeft" activeCell="C10" sqref="C10"/>
    </sheetView>
  </sheetViews>
  <sheetFormatPr defaultColWidth="9.140625" defaultRowHeight="12"/>
  <cols>
    <col min="1" max="1" width="1" style="21" customWidth="1"/>
    <col min="2" max="2" width="10.5703125" style="85" customWidth="1"/>
    <col min="3" max="3" width="33.140625" style="135" customWidth="1"/>
    <col min="4" max="4" width="10" style="165" customWidth="1"/>
    <col min="5" max="5" width="10.85546875" style="49" customWidth="1"/>
    <col min="6" max="6" width="9" style="49" customWidth="1"/>
    <col min="7" max="7" width="10.7109375" style="35" customWidth="1"/>
    <col min="8" max="8" width="15.140625" style="35" customWidth="1"/>
    <col min="9" max="16384" width="9.140625" style="21"/>
  </cols>
  <sheetData>
    <row r="1" spans="1:31" s="130" customFormat="1" ht="3.75" customHeight="1">
      <c r="C1" s="131"/>
      <c r="D1" s="132"/>
      <c r="E1" s="133"/>
      <c r="H1" s="132"/>
      <c r="I1" s="132"/>
      <c r="J1" s="132"/>
      <c r="K1" s="132"/>
      <c r="L1" s="132"/>
      <c r="M1" s="132"/>
      <c r="N1" s="132"/>
      <c r="O1" s="133"/>
      <c r="P1" s="133"/>
    </row>
    <row r="2" spans="1:31" s="134" customFormat="1" ht="57"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31" ht="3.75" customHeight="1"/>
    <row r="4" spans="1:31" s="166" customFormat="1" ht="33" customHeight="1">
      <c r="B4" s="153" t="str">
        <f>oknCompanyName</f>
        <v>Singapore service company name</v>
      </c>
      <c r="C4" s="167"/>
      <c r="D4" s="168"/>
      <c r="E4" s="169"/>
      <c r="F4" s="222" t="s">
        <v>120</v>
      </c>
      <c r="G4" s="222"/>
      <c r="H4" s="222"/>
    </row>
    <row r="5" spans="1:31">
      <c r="B5" s="21" t="str">
        <f>oknCompanyAddress</f>
        <v>Address</v>
      </c>
      <c r="D5" s="170"/>
      <c r="E5" s="54"/>
    </row>
    <row r="6" spans="1:31">
      <c r="B6" s="21" t="str">
        <f>oknCompanyCityStateZip</f>
        <v>City, State ZIP</v>
      </c>
      <c r="D6" s="170"/>
      <c r="E6" s="54"/>
    </row>
    <row r="7" spans="1:31">
      <c r="B7" s="21" t="str">
        <f>oknCompanyContact</f>
        <v>Phone</v>
      </c>
      <c r="D7" s="170"/>
      <c r="E7" s="54"/>
    </row>
    <row r="8" spans="1:31" ht="27.75" customHeight="1"/>
    <row r="9" spans="1:31" ht="15.75" customHeight="1">
      <c r="B9" s="86" t="s">
        <v>1</v>
      </c>
    </row>
    <row r="10" spans="1:31" ht="15.75" customHeight="1">
      <c r="B10" s="43" t="s">
        <v>45</v>
      </c>
      <c r="C10" s="21"/>
      <c r="F10" s="224" t="s">
        <v>121</v>
      </c>
      <c r="G10" s="225"/>
      <c r="H10" s="87">
        <v>0</v>
      </c>
    </row>
    <row r="11" spans="1:31" ht="15.75" customHeight="1">
      <c r="B11" s="43" t="s">
        <v>46</v>
      </c>
      <c r="C11" s="21"/>
      <c r="F11" s="226" t="s">
        <v>122</v>
      </c>
      <c r="G11" s="227"/>
      <c r="H11" s="171">
        <v>0</v>
      </c>
    </row>
    <row r="12" spans="1:31" ht="15.75" customHeight="1">
      <c r="B12" s="43" t="s">
        <v>47</v>
      </c>
      <c r="C12" s="172"/>
      <c r="F12" s="228" t="s">
        <v>123</v>
      </c>
      <c r="G12" s="229"/>
      <c r="H12" s="88"/>
    </row>
    <row r="13" spans="1:31" ht="15.75" customHeight="1">
      <c r="B13" s="43" t="s">
        <v>48</v>
      </c>
      <c r="C13" s="21"/>
    </row>
    <row r="14" spans="1:31" ht="15.75" customHeight="1">
      <c r="B14" s="43" t="s">
        <v>50</v>
      </c>
      <c r="C14" s="21"/>
      <c r="F14" s="224" t="s">
        <v>124</v>
      </c>
      <c r="G14" s="225"/>
      <c r="H14" s="87">
        <v>0</v>
      </c>
    </row>
    <row r="15" spans="1:31" ht="15.75" customHeight="1">
      <c r="B15" s="43" t="s">
        <v>49</v>
      </c>
      <c r="C15" s="21"/>
      <c r="F15" s="173" t="s">
        <v>125</v>
      </c>
      <c r="G15" s="174"/>
      <c r="H15" s="88">
        <v>0</v>
      </c>
    </row>
    <row r="16" spans="1:31" ht="3" customHeight="1"/>
    <row r="17" spans="2:8" ht="15.75" customHeight="1">
      <c r="B17" s="89" t="s">
        <v>92</v>
      </c>
    </row>
    <row r="18" spans="2:8" ht="15.75" customHeight="1">
      <c r="B18" s="43" t="s">
        <v>33</v>
      </c>
      <c r="C18" s="55"/>
    </row>
    <row r="19" spans="2:8" ht="15.75" customHeight="1">
      <c r="B19" s="43" t="s">
        <v>34</v>
      </c>
      <c r="C19" s="55"/>
    </row>
    <row r="20" spans="2:8" ht="12" customHeight="1"/>
    <row r="21" spans="2:8" ht="15.75" customHeight="1">
      <c r="B21" s="149" t="s">
        <v>126</v>
      </c>
      <c r="C21" s="149" t="s">
        <v>127</v>
      </c>
      <c r="D21" s="175" t="s">
        <v>128</v>
      </c>
      <c r="E21" s="149" t="s">
        <v>129</v>
      </c>
      <c r="F21" s="149" t="s">
        <v>130</v>
      </c>
      <c r="G21" s="164" t="s">
        <v>131</v>
      </c>
      <c r="H21" s="164" t="s">
        <v>132</v>
      </c>
    </row>
    <row r="22" spans="2:8" ht="12" customHeight="1"/>
    <row r="23" spans="2:8" ht="12" customHeight="1"/>
    <row r="24" spans="2:8" ht="12" customHeight="1"/>
    <row r="25" spans="2:8" ht="12" customHeight="1"/>
  </sheetData>
  <mergeCells count="6">
    <mergeCell ref="F14:G14"/>
    <mergeCell ref="A2:AE2"/>
    <mergeCell ref="F4:H4"/>
    <mergeCell ref="F10:G10"/>
    <mergeCell ref="F11:G11"/>
    <mergeCell ref="F12:G12"/>
  </mergeCells>
  <printOptions horizontalCentered="1"/>
  <pageMargins left="0.31496062992125984" right="0.31496062992125984" top="0.31496062992125984" bottom="0.31496062992125984" header="0.31496062992125984" footer="0.31496062992125984"/>
  <pageSetup paperSize="9" orientation="portrait" horizontalDpi="96" verticalDpi="96" r:id="rId1"/>
  <headerFooter alignWithMargins="0">
    <oddFooter>&amp;C&amp;"Arial Black,常规"&amp;11Thank you for your business!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AFDEF-994E-4595-9DAE-AEE2BCF5199E}">
  <dimension ref="A1:AE14"/>
  <sheetViews>
    <sheetView showGridLines="0" showRowColHeaders="0" workbookViewId="0">
      <pane xSplit="1" ySplit="14" topLeftCell="B15" activePane="bottomRight" state="frozen"/>
      <selection pane="topRight" activeCell="B1" sqref="B1"/>
      <selection pane="bottomLeft" activeCell="A12" sqref="A12"/>
      <selection pane="bottomRight" activeCell="C10" sqref="C10"/>
    </sheetView>
  </sheetViews>
  <sheetFormatPr defaultColWidth="9.140625" defaultRowHeight="12"/>
  <cols>
    <col min="1" max="1" width="0.7109375" style="21" customWidth="1"/>
    <col min="2" max="2" width="11.85546875" style="21" customWidth="1"/>
    <col min="3" max="3" width="12.140625" style="135" customWidth="1"/>
    <col min="4" max="4" width="8.140625" style="34" customWidth="1"/>
    <col min="5" max="5" width="10.5703125" style="34" customWidth="1"/>
    <col min="6" max="6" width="11.85546875" style="49" customWidth="1"/>
    <col min="7" max="8" width="10.85546875" style="49" hidden="1" customWidth="1"/>
    <col min="9" max="9" width="9.5703125" style="49" hidden="1" customWidth="1"/>
    <col min="10" max="10" width="11.42578125" style="49" customWidth="1"/>
    <col min="11" max="11" width="12.5703125" style="49" customWidth="1"/>
    <col min="12" max="12" width="11.7109375" style="49" hidden="1" customWidth="1"/>
    <col min="13" max="13" width="12.7109375" style="49" customWidth="1"/>
    <col min="14" max="14" width="9.42578125" style="34" hidden="1" customWidth="1"/>
    <col min="15" max="15" width="11.42578125" style="21" customWidth="1"/>
    <col min="16" max="16384" width="9.140625" style="21"/>
  </cols>
  <sheetData>
    <row r="1" spans="1:31" s="130" customFormat="1" ht="3.75" customHeight="1">
      <c r="C1" s="131"/>
      <c r="D1" s="132"/>
      <c r="E1" s="133"/>
      <c r="H1" s="132"/>
      <c r="I1" s="132"/>
      <c r="J1" s="132"/>
      <c r="K1" s="132"/>
      <c r="L1" s="132"/>
      <c r="M1" s="132"/>
      <c r="N1" s="132"/>
      <c r="O1" s="133"/>
      <c r="P1" s="133"/>
    </row>
    <row r="2" spans="1:31" s="134" customFormat="1" ht="57"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31" ht="3.75" customHeight="1"/>
    <row r="4" spans="1:31" s="153" customFormat="1" ht="33" customHeight="1">
      <c r="B4" s="154" t="str">
        <f>oknCompanyName</f>
        <v>Singapore service company name</v>
      </c>
      <c r="C4" s="155"/>
      <c r="D4" s="157"/>
      <c r="E4" s="157"/>
      <c r="F4" s="158"/>
      <c r="G4" s="158"/>
      <c r="H4" s="158"/>
      <c r="I4" s="158"/>
      <c r="J4" s="222" t="s">
        <v>133</v>
      </c>
      <c r="K4" s="222"/>
      <c r="L4" s="222"/>
      <c r="M4" s="222"/>
      <c r="N4" s="157"/>
    </row>
    <row r="5" spans="1:31">
      <c r="B5" s="21" t="str">
        <f>oknCompanyAddress</f>
        <v>Address</v>
      </c>
    </row>
    <row r="6" spans="1:31">
      <c r="B6" s="21" t="str">
        <f>oknCompanyCityStateZip</f>
        <v>City, State ZIP</v>
      </c>
      <c r="M6" s="143"/>
    </row>
    <row r="7" spans="1:31">
      <c r="B7" s="21" t="str">
        <f>oknCompanyContact</f>
        <v>Phone</v>
      </c>
    </row>
    <row r="8" spans="1:31" ht="12.75" customHeight="1">
      <c r="K8" s="144"/>
    </row>
    <row r="9" spans="1:31" ht="12.75" customHeight="1">
      <c r="B9" s="145" t="s">
        <v>35</v>
      </c>
    </row>
    <row r="10" spans="1:31" ht="12.75" customHeight="1">
      <c r="B10" s="146" t="s">
        <v>33</v>
      </c>
      <c r="C10" s="51"/>
    </row>
    <row r="11" spans="1:31" ht="12.75" customHeight="1">
      <c r="B11" s="146" t="s">
        <v>34</v>
      </c>
      <c r="C11" s="51"/>
    </row>
    <row r="12" spans="1:31" ht="12.75" customHeight="1"/>
    <row r="13" spans="1:31" ht="3" customHeight="1"/>
    <row r="14" spans="1:31" s="34" customFormat="1" ht="15.75" customHeight="1">
      <c r="B14" s="151" t="s">
        <v>44</v>
      </c>
      <c r="C14" s="149" t="s">
        <v>32</v>
      </c>
      <c r="D14" s="151" t="s">
        <v>43</v>
      </c>
      <c r="E14" s="151" t="s">
        <v>36</v>
      </c>
      <c r="F14" s="150" t="s">
        <v>52</v>
      </c>
      <c r="G14" s="150" t="str">
        <f>oknTax1Name</f>
        <v>GST</v>
      </c>
      <c r="H14" s="150" t="str">
        <f>oknTax2Name</f>
        <v>GST</v>
      </c>
      <c r="I14" s="150" t="s">
        <v>38</v>
      </c>
      <c r="J14" s="150" t="s">
        <v>39</v>
      </c>
      <c r="K14" s="150" t="s">
        <v>40</v>
      </c>
      <c r="L14" s="150" t="s">
        <v>37</v>
      </c>
      <c r="M14" s="150" t="s">
        <v>41</v>
      </c>
      <c r="N14" s="37" t="s">
        <v>42</v>
      </c>
    </row>
  </sheetData>
  <mergeCells count="2">
    <mergeCell ref="A2:AE2"/>
    <mergeCell ref="J4:M4"/>
  </mergeCells>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5:E39"/>
  <sheetViews>
    <sheetView showGridLines="0" showRowColHeaders="0" showZeros="0" workbookViewId="0">
      <selection activeCell="B7" sqref="B7"/>
    </sheetView>
  </sheetViews>
  <sheetFormatPr defaultRowHeight="12"/>
  <cols>
    <col min="1" max="1" width="37.42578125" style="21" customWidth="1"/>
    <col min="2" max="2" width="18" style="31" customWidth="1"/>
    <col min="3" max="3" width="9.7109375" style="21" bestFit="1" customWidth="1"/>
    <col min="4" max="4" width="20.85546875" style="21" bestFit="1" customWidth="1"/>
    <col min="5" max="5" width="12.28515625" style="21" bestFit="1" customWidth="1"/>
    <col min="6" max="6" width="15.140625" style="21" bestFit="1" customWidth="1"/>
    <col min="7" max="7" width="18" style="21" bestFit="1" customWidth="1"/>
    <col min="8" max="9" width="16.5703125" style="21" bestFit="1" customWidth="1"/>
    <col min="10" max="10" width="9.7109375" style="21" bestFit="1" customWidth="1"/>
    <col min="11" max="11" width="11" style="21" bestFit="1" customWidth="1"/>
    <col min="12" max="13" width="9.7109375" style="21" bestFit="1" customWidth="1"/>
    <col min="14" max="14" width="7.42578125" style="21" bestFit="1" customWidth="1"/>
    <col min="15" max="16" width="13.28515625" style="21" bestFit="1" customWidth="1"/>
    <col min="17" max="17" width="30.85546875" style="21" bestFit="1" customWidth="1"/>
    <col min="18" max="18" width="11" style="21" bestFit="1" customWidth="1"/>
    <col min="19" max="19" width="19.42578125" style="21" bestFit="1" customWidth="1"/>
    <col min="20" max="20" width="20.85546875" style="21" bestFit="1" customWidth="1"/>
    <col min="21" max="22" width="40.85546875" style="21" bestFit="1" customWidth="1"/>
    <col min="23" max="23" width="26.5703125" style="21" bestFit="1" customWidth="1"/>
    <col min="24" max="24" width="28" style="21" bestFit="1" customWidth="1"/>
    <col min="25" max="16384" width="9.140625" style="21"/>
  </cols>
  <sheetData>
    <row r="5" spans="1:5" ht="12.75">
      <c r="A5" s="21" t="s">
        <v>6</v>
      </c>
      <c r="B5" s="29" t="s">
        <v>62</v>
      </c>
    </row>
    <row r="6" spans="1:5">
      <c r="A6" s="21" t="s">
        <v>7</v>
      </c>
      <c r="B6" s="30" t="s">
        <v>100</v>
      </c>
    </row>
    <row r="7" spans="1:5">
      <c r="A7" s="21" t="s">
        <v>14</v>
      </c>
      <c r="B7" s="31">
        <v>2</v>
      </c>
      <c r="D7" s="21" t="s">
        <v>15</v>
      </c>
      <c r="E7" s="21" t="s">
        <v>16</v>
      </c>
    </row>
    <row r="8" spans="1:5">
      <c r="A8" s="21" t="s">
        <v>17</v>
      </c>
      <c r="B8" s="31">
        <v>0</v>
      </c>
    </row>
    <row r="9" spans="1:5">
      <c r="A9" s="21" t="s">
        <v>18</v>
      </c>
      <c r="B9" s="31">
        <v>1</v>
      </c>
    </row>
    <row r="10" spans="1:5">
      <c r="A10" s="21" t="s">
        <v>19</v>
      </c>
      <c r="B10" s="31">
        <v>1</v>
      </c>
    </row>
    <row r="11" spans="1:5">
      <c r="A11" s="21" t="s">
        <v>20</v>
      </c>
      <c r="B11" s="31">
        <v>1</v>
      </c>
    </row>
    <row r="12" spans="1:5">
      <c r="A12" s="21" t="s">
        <v>21</v>
      </c>
      <c r="B12" s="31">
        <v>0</v>
      </c>
    </row>
    <row r="13" spans="1:5">
      <c r="A13" s="21" t="s">
        <v>22</v>
      </c>
    </row>
    <row r="14" spans="1:5" ht="12.75">
      <c r="A14" t="s">
        <v>23</v>
      </c>
      <c r="B14" s="31">
        <v>0</v>
      </c>
    </row>
    <row r="15" spans="1:5">
      <c r="A15" s="21" t="s">
        <v>24</v>
      </c>
      <c r="B15" s="31" t="s">
        <v>73</v>
      </c>
    </row>
    <row r="16" spans="1:5">
      <c r="A16" s="21" t="s">
        <v>25</v>
      </c>
      <c r="B16" s="31">
        <v>1</v>
      </c>
    </row>
    <row r="17" spans="1:2">
      <c r="A17" s="21" t="s">
        <v>28</v>
      </c>
      <c r="B17" s="31">
        <v>0</v>
      </c>
    </row>
    <row r="18" spans="1:2">
      <c r="A18" s="21" t="s">
        <v>26</v>
      </c>
      <c r="B18" s="31">
        <v>1</v>
      </c>
    </row>
    <row r="19" spans="1:2">
      <c r="A19" s="21" t="s">
        <v>27</v>
      </c>
      <c r="B19" s="31">
        <v>12</v>
      </c>
    </row>
    <row r="20" spans="1:2">
      <c r="A20" s="21" t="s">
        <v>65</v>
      </c>
      <c r="B20" s="31">
        <v>1</v>
      </c>
    </row>
    <row r="21" spans="1:2">
      <c r="A21" s="21" t="s">
        <v>63</v>
      </c>
      <c r="B21" s="31">
        <v>1</v>
      </c>
    </row>
    <row r="22" spans="1:2">
      <c r="A22" s="21" t="s">
        <v>64</v>
      </c>
      <c r="B22" s="31">
        <v>1</v>
      </c>
    </row>
    <row r="23" spans="1:2">
      <c r="B23" s="31" t="s">
        <v>116</v>
      </c>
    </row>
    <row r="30" spans="1:2">
      <c r="B30" s="31">
        <v>1</v>
      </c>
    </row>
    <row r="33" spans="2:2">
      <c r="B33" s="31">
        <v>2</v>
      </c>
    </row>
    <row r="34" spans="2:2">
      <c r="B34" s="31">
        <v>1</v>
      </c>
    </row>
    <row r="35" spans="2:2">
      <c r="B35" s="31">
        <v>1</v>
      </c>
    </row>
    <row r="36" spans="2:2">
      <c r="B36" s="31">
        <v>1</v>
      </c>
    </row>
    <row r="38" spans="2:2">
      <c r="B38" s="31">
        <v>1</v>
      </c>
    </row>
    <row r="39" spans="2:2">
      <c r="B39" s="31">
        <v>1</v>
      </c>
    </row>
  </sheetData>
  <phoneticPr fontId="10" type="noConversion"/>
  <pageMargins left="0.75" right="0.75" top="1" bottom="1" header="0.5" footer="0.5"/>
  <pageSetup paperSize="9"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1017</vt:i4>
      </vt:variant>
    </vt:vector>
  </HeadingPairs>
  <TitlesOfParts>
    <vt:vector size="1024" baseType="lpstr">
      <vt:lpstr>Invoice</vt:lpstr>
      <vt:lpstr>©</vt:lpstr>
      <vt:lpstr>Sales Report</vt:lpstr>
      <vt:lpstr>Customer Report</vt:lpstr>
      <vt:lpstr>Product Report</vt:lpstr>
      <vt:lpstr>Customer Statement</vt:lpstr>
      <vt:lpstr>Sales Rep. Report</vt:lpstr>
      <vt:lpstr>oknBalanceDue</vt:lpstr>
      <vt:lpstr>oknCompanyAddress</vt:lpstr>
      <vt:lpstr>oknCompanyCityStateZip</vt:lpstr>
      <vt:lpstr>oknCompanyContact</vt:lpstr>
      <vt:lpstr>oknCompanyName</vt:lpstr>
      <vt:lpstr>oknCost_1</vt:lpstr>
      <vt:lpstr>oknCost_10</vt:lpstr>
      <vt:lpstr>oknCost_100</vt:lpstr>
      <vt:lpstr>oknCost_101</vt:lpstr>
      <vt:lpstr>oknCost_102</vt:lpstr>
      <vt:lpstr>oknCost_103</vt:lpstr>
      <vt:lpstr>oknCost_104</vt:lpstr>
      <vt:lpstr>oknCost_105</vt:lpstr>
      <vt:lpstr>oknCost_106</vt:lpstr>
      <vt:lpstr>oknCost_107</vt:lpstr>
      <vt:lpstr>oknCost_108</vt:lpstr>
      <vt:lpstr>oknCost_11</vt:lpstr>
      <vt:lpstr>oknCost_12</vt:lpstr>
      <vt:lpstr>oknCost_13</vt:lpstr>
      <vt:lpstr>oknCost_14</vt:lpstr>
      <vt:lpstr>oknCost_15</vt:lpstr>
      <vt:lpstr>oknCost_16</vt:lpstr>
      <vt:lpstr>oknCost_17</vt:lpstr>
      <vt:lpstr>oknCost_18</vt:lpstr>
      <vt:lpstr>oknCost_19</vt:lpstr>
      <vt:lpstr>oknCost_2</vt:lpstr>
      <vt:lpstr>oknCost_20</vt:lpstr>
      <vt:lpstr>oknCost_21</vt:lpstr>
      <vt:lpstr>oknCost_22</vt:lpstr>
      <vt:lpstr>oknCost_23</vt:lpstr>
      <vt:lpstr>oknCost_24</vt:lpstr>
      <vt:lpstr>oknCost_25</vt:lpstr>
      <vt:lpstr>oknCost_26</vt:lpstr>
      <vt:lpstr>oknCost_27</vt:lpstr>
      <vt:lpstr>oknCost_28</vt:lpstr>
      <vt:lpstr>oknCost_29</vt:lpstr>
      <vt:lpstr>oknCost_3</vt:lpstr>
      <vt:lpstr>oknCost_30</vt:lpstr>
      <vt:lpstr>oknCost_31</vt:lpstr>
      <vt:lpstr>oknCost_32</vt:lpstr>
      <vt:lpstr>oknCost_33</vt:lpstr>
      <vt:lpstr>oknCost_34</vt:lpstr>
      <vt:lpstr>oknCost_35</vt:lpstr>
      <vt:lpstr>oknCost_36</vt:lpstr>
      <vt:lpstr>oknCost_37</vt:lpstr>
      <vt:lpstr>oknCost_38</vt:lpstr>
      <vt:lpstr>oknCost_39</vt:lpstr>
      <vt:lpstr>oknCost_4</vt:lpstr>
      <vt:lpstr>oknCost_40</vt:lpstr>
      <vt:lpstr>oknCost_41</vt:lpstr>
      <vt:lpstr>oknCost_42</vt:lpstr>
      <vt:lpstr>oknCost_43</vt:lpstr>
      <vt:lpstr>oknCost_44</vt:lpstr>
      <vt:lpstr>oknCost_45</vt:lpstr>
      <vt:lpstr>oknCost_46</vt:lpstr>
      <vt:lpstr>oknCost_47</vt:lpstr>
      <vt:lpstr>oknCost_48</vt:lpstr>
      <vt:lpstr>oknCost_49</vt:lpstr>
      <vt:lpstr>oknCost_5</vt:lpstr>
      <vt:lpstr>oknCost_50</vt:lpstr>
      <vt:lpstr>oknCost_51</vt:lpstr>
      <vt:lpstr>oknCost_52</vt:lpstr>
      <vt:lpstr>oknCost_53</vt:lpstr>
      <vt:lpstr>oknCost_54</vt:lpstr>
      <vt:lpstr>oknCost_55</vt:lpstr>
      <vt:lpstr>oknCost_56</vt:lpstr>
      <vt:lpstr>oknCost_57</vt:lpstr>
      <vt:lpstr>oknCost_58</vt:lpstr>
      <vt:lpstr>oknCost_59</vt:lpstr>
      <vt:lpstr>oknCost_6</vt:lpstr>
      <vt:lpstr>oknCost_60</vt:lpstr>
      <vt:lpstr>oknCost_61</vt:lpstr>
      <vt:lpstr>oknCost_62</vt:lpstr>
      <vt:lpstr>oknCost_63</vt:lpstr>
      <vt:lpstr>oknCost_64</vt:lpstr>
      <vt:lpstr>oknCost_65</vt:lpstr>
      <vt:lpstr>oknCost_66</vt:lpstr>
      <vt:lpstr>oknCost_67</vt:lpstr>
      <vt:lpstr>oknCost_68</vt:lpstr>
      <vt:lpstr>oknCost_69</vt:lpstr>
      <vt:lpstr>oknCost_7</vt:lpstr>
      <vt:lpstr>oknCost_70</vt:lpstr>
      <vt:lpstr>oknCost_71</vt:lpstr>
      <vt:lpstr>oknCost_72</vt:lpstr>
      <vt:lpstr>oknCost_73</vt:lpstr>
      <vt:lpstr>oknCost_74</vt:lpstr>
      <vt:lpstr>oknCost_75</vt:lpstr>
      <vt:lpstr>oknCost_76</vt:lpstr>
      <vt:lpstr>oknCost_77</vt:lpstr>
      <vt:lpstr>oknCost_78</vt:lpstr>
      <vt:lpstr>oknCost_79</vt:lpstr>
      <vt:lpstr>oknCost_8</vt:lpstr>
      <vt:lpstr>oknCost_80</vt:lpstr>
      <vt:lpstr>oknCost_81</vt:lpstr>
      <vt:lpstr>oknCost_82</vt:lpstr>
      <vt:lpstr>oknCost_83</vt:lpstr>
      <vt:lpstr>oknCost_84</vt:lpstr>
      <vt:lpstr>oknCost_85</vt:lpstr>
      <vt:lpstr>oknCost_86</vt:lpstr>
      <vt:lpstr>oknCost_87</vt:lpstr>
      <vt:lpstr>oknCost_88</vt:lpstr>
      <vt:lpstr>oknCost_89</vt:lpstr>
      <vt:lpstr>oknCost_9</vt:lpstr>
      <vt:lpstr>oknCost_90</vt:lpstr>
      <vt:lpstr>oknCost_91</vt:lpstr>
      <vt:lpstr>oknCost_92</vt:lpstr>
      <vt:lpstr>oknCost_93</vt:lpstr>
      <vt:lpstr>oknCost_94</vt:lpstr>
      <vt:lpstr>oknCost_95</vt:lpstr>
      <vt:lpstr>oknCost_96</vt:lpstr>
      <vt:lpstr>oknCost_97</vt:lpstr>
      <vt:lpstr>oknCost_98</vt:lpstr>
      <vt:lpstr>oknCost_99</vt:lpstr>
      <vt:lpstr>oknCsDateFrom</vt:lpstr>
      <vt:lpstr>oknCsDateTo</vt:lpstr>
      <vt:lpstr>oknCsHdrAddress</vt:lpstr>
      <vt:lpstr>oknCsHdrBalanceCurrent</vt:lpstr>
      <vt:lpstr>oknCsHdrBalanceForward</vt:lpstr>
      <vt:lpstr>oknCsHdrCityStateZip</vt:lpstr>
      <vt:lpstr>oknCsHdrCountry</vt:lpstr>
      <vt:lpstr>oknCsHdrCredit</vt:lpstr>
      <vt:lpstr>oknCsHdrCustomerID</vt:lpstr>
      <vt:lpstr>oknCsHdrCustomerName</vt:lpstr>
      <vt:lpstr>oknCsHdrInvoiceTotal</vt:lpstr>
      <vt:lpstr>oknCsHdrPaymentTotal</vt:lpstr>
      <vt:lpstr>oknCsHdrPhone</vt:lpstr>
      <vt:lpstr>oknCsStatementAmount</vt:lpstr>
      <vt:lpstr>oknCsStatementBalance</vt:lpstr>
      <vt:lpstr>oknCsStatementDate</vt:lpstr>
      <vt:lpstr>oknCsStatementDesc</vt:lpstr>
      <vt:lpstr>oknCsStatementDocID</vt:lpstr>
      <vt:lpstr>oknCsStatementDueDate</vt:lpstr>
      <vt:lpstr>oknCsStatementStatus</vt:lpstr>
      <vt:lpstr>oknDatabaseName</vt:lpstr>
      <vt:lpstr>oknDueDate</vt:lpstr>
      <vt:lpstr>oknInvoiceDate</vt:lpstr>
      <vt:lpstr>oknInvoiceID</vt:lpstr>
      <vt:lpstr>oknLineTotal_1</vt:lpstr>
      <vt:lpstr>oknLineTotal_10</vt:lpstr>
      <vt:lpstr>oknLineTotal_100</vt:lpstr>
      <vt:lpstr>oknLineTotal_101</vt:lpstr>
      <vt:lpstr>oknLineTotal_102</vt:lpstr>
      <vt:lpstr>oknLineTotal_103</vt:lpstr>
      <vt:lpstr>oknLineTotal_104</vt:lpstr>
      <vt:lpstr>oknLineTotal_105</vt:lpstr>
      <vt:lpstr>oknLineTotal_106</vt:lpstr>
      <vt:lpstr>oknLineTotal_107</vt:lpstr>
      <vt:lpstr>oknLineTotal_108</vt:lpstr>
      <vt:lpstr>oknLineTotal_11</vt:lpstr>
      <vt:lpstr>oknLineTotal_12</vt:lpstr>
      <vt:lpstr>oknLineTotal_13</vt:lpstr>
      <vt:lpstr>oknLineTotal_14</vt:lpstr>
      <vt:lpstr>oknLineTotal_15</vt:lpstr>
      <vt:lpstr>oknLineTotal_16</vt:lpstr>
      <vt:lpstr>oknLineTotal_17</vt:lpstr>
      <vt:lpstr>oknLineTotal_18</vt:lpstr>
      <vt:lpstr>oknLineTotal_19</vt:lpstr>
      <vt:lpstr>oknLineTotal_2</vt:lpstr>
      <vt:lpstr>oknLineTotal_20</vt:lpstr>
      <vt:lpstr>oknLineTotal_21</vt:lpstr>
      <vt:lpstr>oknLineTotal_22</vt:lpstr>
      <vt:lpstr>oknLineTotal_23</vt:lpstr>
      <vt:lpstr>oknLineTotal_24</vt:lpstr>
      <vt:lpstr>oknLineTotal_25</vt:lpstr>
      <vt:lpstr>oknLineTotal_26</vt:lpstr>
      <vt:lpstr>oknLineTotal_27</vt:lpstr>
      <vt:lpstr>oknLineTotal_28</vt:lpstr>
      <vt:lpstr>oknLineTotal_29</vt:lpstr>
      <vt:lpstr>oknLineTotal_3</vt:lpstr>
      <vt:lpstr>oknLineTotal_30</vt:lpstr>
      <vt:lpstr>oknLineTotal_31</vt:lpstr>
      <vt:lpstr>oknLineTotal_32</vt:lpstr>
      <vt:lpstr>oknLineTotal_33</vt:lpstr>
      <vt:lpstr>oknLineTotal_34</vt:lpstr>
      <vt:lpstr>oknLineTotal_35</vt:lpstr>
      <vt:lpstr>oknLineTotal_36</vt:lpstr>
      <vt:lpstr>oknLineTotal_37</vt:lpstr>
      <vt:lpstr>oknLineTotal_38</vt:lpstr>
      <vt:lpstr>oknLineTotal_39</vt:lpstr>
      <vt:lpstr>oknLineTotal_4</vt:lpstr>
      <vt:lpstr>oknLineTotal_40</vt:lpstr>
      <vt:lpstr>oknLineTotal_41</vt:lpstr>
      <vt:lpstr>oknLineTotal_42</vt:lpstr>
      <vt:lpstr>oknLineTotal_43</vt:lpstr>
      <vt:lpstr>oknLineTotal_44</vt:lpstr>
      <vt:lpstr>oknLineTotal_45</vt:lpstr>
      <vt:lpstr>oknLineTotal_46</vt:lpstr>
      <vt:lpstr>oknLineTotal_47</vt:lpstr>
      <vt:lpstr>oknLineTotal_48</vt:lpstr>
      <vt:lpstr>oknLineTotal_49</vt:lpstr>
      <vt:lpstr>oknLineTotal_5</vt:lpstr>
      <vt:lpstr>oknLineTotal_50</vt:lpstr>
      <vt:lpstr>oknLineTotal_51</vt:lpstr>
      <vt:lpstr>oknLineTotal_52</vt:lpstr>
      <vt:lpstr>oknLineTotal_53</vt:lpstr>
      <vt:lpstr>oknLineTotal_54</vt:lpstr>
      <vt:lpstr>oknLineTotal_55</vt:lpstr>
      <vt:lpstr>oknLineTotal_56</vt:lpstr>
      <vt:lpstr>oknLineTotal_57</vt:lpstr>
      <vt:lpstr>oknLineTotal_58</vt:lpstr>
      <vt:lpstr>oknLineTotal_59</vt:lpstr>
      <vt:lpstr>oknLineTotal_6</vt:lpstr>
      <vt:lpstr>oknLineTotal_60</vt:lpstr>
      <vt:lpstr>oknLineTotal_61</vt:lpstr>
      <vt:lpstr>oknLineTotal_62</vt:lpstr>
      <vt:lpstr>oknLineTotal_63</vt:lpstr>
      <vt:lpstr>oknLineTotal_64</vt:lpstr>
      <vt:lpstr>oknLineTotal_65</vt:lpstr>
      <vt:lpstr>oknLineTotal_66</vt:lpstr>
      <vt:lpstr>oknLineTotal_67</vt:lpstr>
      <vt:lpstr>oknLineTotal_68</vt:lpstr>
      <vt:lpstr>oknLineTotal_69</vt:lpstr>
      <vt:lpstr>oknLineTotal_7</vt:lpstr>
      <vt:lpstr>oknLineTotal_70</vt:lpstr>
      <vt:lpstr>oknLineTotal_71</vt:lpstr>
      <vt:lpstr>oknLineTotal_72</vt:lpstr>
      <vt:lpstr>oknLineTotal_73</vt:lpstr>
      <vt:lpstr>oknLineTotal_74</vt:lpstr>
      <vt:lpstr>oknLineTotal_75</vt:lpstr>
      <vt:lpstr>oknLineTotal_76</vt:lpstr>
      <vt:lpstr>oknLineTotal_77</vt:lpstr>
      <vt:lpstr>oknLineTotal_78</vt:lpstr>
      <vt:lpstr>oknLineTotal_79</vt:lpstr>
      <vt:lpstr>oknLineTotal_8</vt:lpstr>
      <vt:lpstr>oknLineTotal_80</vt:lpstr>
      <vt:lpstr>oknLineTotal_81</vt:lpstr>
      <vt:lpstr>oknLineTotal_82</vt:lpstr>
      <vt:lpstr>oknLineTotal_83</vt:lpstr>
      <vt:lpstr>oknLineTotal_84</vt:lpstr>
      <vt:lpstr>oknLineTotal_85</vt:lpstr>
      <vt:lpstr>oknLineTotal_86</vt:lpstr>
      <vt:lpstr>oknLineTotal_87</vt:lpstr>
      <vt:lpstr>oknLineTotal_88</vt:lpstr>
      <vt:lpstr>oknLineTotal_89</vt:lpstr>
      <vt:lpstr>oknLineTotal_9</vt:lpstr>
      <vt:lpstr>oknLineTotal_90</vt:lpstr>
      <vt:lpstr>oknLineTotal_91</vt:lpstr>
      <vt:lpstr>oknLineTotal_92</vt:lpstr>
      <vt:lpstr>oknLineTotal_93</vt:lpstr>
      <vt:lpstr>oknLineTotal_94</vt:lpstr>
      <vt:lpstr>oknLineTotal_95</vt:lpstr>
      <vt:lpstr>oknLineTotal_96</vt:lpstr>
      <vt:lpstr>oknLineTotal_97</vt:lpstr>
      <vt:lpstr>oknLineTotal_98</vt:lpstr>
      <vt:lpstr>oknLineTotal_99</vt:lpstr>
      <vt:lpstr>oknLineTotalTaxable</vt:lpstr>
      <vt:lpstr>oknOrderID</vt:lpstr>
      <vt:lpstr>oknPayments</vt:lpstr>
      <vt:lpstr>oknPaymentTerm</vt:lpstr>
      <vt:lpstr>oknPrice_1</vt:lpstr>
      <vt:lpstr>oknPrice_10</vt:lpstr>
      <vt:lpstr>oknPrice_100</vt:lpstr>
      <vt:lpstr>oknPrice_101</vt:lpstr>
      <vt:lpstr>oknPrice_102</vt:lpstr>
      <vt:lpstr>oknPrice_103</vt:lpstr>
      <vt:lpstr>oknPrice_104</vt:lpstr>
      <vt:lpstr>oknPrice_105</vt:lpstr>
      <vt:lpstr>oknPrice_106</vt:lpstr>
      <vt:lpstr>oknPrice_107</vt:lpstr>
      <vt:lpstr>oknPrice_108</vt:lpstr>
      <vt:lpstr>oknPrice_11</vt:lpstr>
      <vt:lpstr>oknPrice_12</vt:lpstr>
      <vt:lpstr>oknPrice_13</vt:lpstr>
      <vt:lpstr>oknPrice_14</vt:lpstr>
      <vt:lpstr>oknPrice_15</vt:lpstr>
      <vt:lpstr>oknPrice_16</vt:lpstr>
      <vt:lpstr>oknPrice_17</vt:lpstr>
      <vt:lpstr>oknPrice_18</vt:lpstr>
      <vt:lpstr>oknPrice_19</vt:lpstr>
      <vt:lpstr>oknPrice_2</vt:lpstr>
      <vt:lpstr>oknPrice_20</vt:lpstr>
      <vt:lpstr>oknPrice_21</vt:lpstr>
      <vt:lpstr>oknPrice_22</vt:lpstr>
      <vt:lpstr>oknPrice_23</vt:lpstr>
      <vt:lpstr>oknPrice_24</vt:lpstr>
      <vt:lpstr>oknPrice_25</vt:lpstr>
      <vt:lpstr>oknPrice_26</vt:lpstr>
      <vt:lpstr>oknPrice_27</vt:lpstr>
      <vt:lpstr>oknPrice_28</vt:lpstr>
      <vt:lpstr>oknPrice_29</vt:lpstr>
      <vt:lpstr>oknPrice_3</vt:lpstr>
      <vt:lpstr>oknPrice_30</vt:lpstr>
      <vt:lpstr>oknPrice_31</vt:lpstr>
      <vt:lpstr>oknPrice_32</vt:lpstr>
      <vt:lpstr>oknPrice_33</vt:lpstr>
      <vt:lpstr>oknPrice_34</vt:lpstr>
      <vt:lpstr>oknPrice_35</vt:lpstr>
      <vt:lpstr>oknPrice_36</vt:lpstr>
      <vt:lpstr>oknPrice_37</vt:lpstr>
      <vt:lpstr>oknPrice_38</vt:lpstr>
      <vt:lpstr>oknPrice_39</vt:lpstr>
      <vt:lpstr>oknPrice_4</vt:lpstr>
      <vt:lpstr>oknPrice_40</vt:lpstr>
      <vt:lpstr>oknPrice_41</vt:lpstr>
      <vt:lpstr>oknPrice_42</vt:lpstr>
      <vt:lpstr>oknPrice_43</vt:lpstr>
      <vt:lpstr>oknPrice_44</vt:lpstr>
      <vt:lpstr>oknPrice_45</vt:lpstr>
      <vt:lpstr>oknPrice_46</vt:lpstr>
      <vt:lpstr>oknPrice_47</vt:lpstr>
      <vt:lpstr>oknPrice_48</vt:lpstr>
      <vt:lpstr>oknPrice_49</vt:lpstr>
      <vt:lpstr>oknPrice_5</vt:lpstr>
      <vt:lpstr>oknPrice_50</vt:lpstr>
      <vt:lpstr>oknPrice_51</vt:lpstr>
      <vt:lpstr>oknPrice_52</vt:lpstr>
      <vt:lpstr>oknPrice_53</vt:lpstr>
      <vt:lpstr>oknPrice_54</vt:lpstr>
      <vt:lpstr>oknPrice_55</vt:lpstr>
      <vt:lpstr>oknPrice_56</vt:lpstr>
      <vt:lpstr>oknPrice_57</vt:lpstr>
      <vt:lpstr>oknPrice_58</vt:lpstr>
      <vt:lpstr>oknPrice_59</vt:lpstr>
      <vt:lpstr>oknPrice_6</vt:lpstr>
      <vt:lpstr>oknPrice_60</vt:lpstr>
      <vt:lpstr>oknPrice_61</vt:lpstr>
      <vt:lpstr>oknPrice_62</vt:lpstr>
      <vt:lpstr>oknPrice_63</vt:lpstr>
      <vt:lpstr>oknPrice_64</vt:lpstr>
      <vt:lpstr>oknPrice_65</vt:lpstr>
      <vt:lpstr>oknPrice_66</vt:lpstr>
      <vt:lpstr>oknPrice_67</vt:lpstr>
      <vt:lpstr>oknPrice_68</vt:lpstr>
      <vt:lpstr>oknPrice_69</vt:lpstr>
      <vt:lpstr>oknPrice_7</vt:lpstr>
      <vt:lpstr>oknPrice_70</vt:lpstr>
      <vt:lpstr>oknPrice_71</vt:lpstr>
      <vt:lpstr>oknPrice_72</vt:lpstr>
      <vt:lpstr>oknPrice_73</vt:lpstr>
      <vt:lpstr>oknPrice_74</vt:lpstr>
      <vt:lpstr>oknPrice_75</vt:lpstr>
      <vt:lpstr>oknPrice_76</vt:lpstr>
      <vt:lpstr>oknPrice_77</vt:lpstr>
      <vt:lpstr>oknPrice_78</vt:lpstr>
      <vt:lpstr>oknPrice_79</vt:lpstr>
      <vt:lpstr>oknPrice_8</vt:lpstr>
      <vt:lpstr>oknPrice_80</vt:lpstr>
      <vt:lpstr>oknPrice_81</vt:lpstr>
      <vt:lpstr>oknPrice_82</vt:lpstr>
      <vt:lpstr>oknPrice_83</vt:lpstr>
      <vt:lpstr>oknPrice_84</vt:lpstr>
      <vt:lpstr>oknPrice_85</vt:lpstr>
      <vt:lpstr>oknPrice_86</vt:lpstr>
      <vt:lpstr>oknPrice_87</vt:lpstr>
      <vt:lpstr>oknPrice_88</vt:lpstr>
      <vt:lpstr>oknPrice_89</vt:lpstr>
      <vt:lpstr>oknPrice_9</vt:lpstr>
      <vt:lpstr>oknPrice_90</vt:lpstr>
      <vt:lpstr>oknPrice_91</vt:lpstr>
      <vt:lpstr>oknPrice_92</vt:lpstr>
      <vt:lpstr>oknPrice_93</vt:lpstr>
      <vt:lpstr>oknPrice_94</vt:lpstr>
      <vt:lpstr>oknPrice_95</vt:lpstr>
      <vt:lpstr>oknPrice_96</vt:lpstr>
      <vt:lpstr>oknPrice_97</vt:lpstr>
      <vt:lpstr>oknPrice_98</vt:lpstr>
      <vt:lpstr>oknPrice_99</vt:lpstr>
      <vt:lpstr>oknProductID_1</vt:lpstr>
      <vt:lpstr>oknProductID_10</vt:lpstr>
      <vt:lpstr>oknProductID_11</vt:lpstr>
      <vt:lpstr>oknProductID_12</vt:lpstr>
      <vt:lpstr>oknProductID_13</vt:lpstr>
      <vt:lpstr>oknProductID_14</vt:lpstr>
      <vt:lpstr>oknProductID_15</vt:lpstr>
      <vt:lpstr>oknProductID_16</vt:lpstr>
      <vt:lpstr>oknProductID_17</vt:lpstr>
      <vt:lpstr>oknProductID_18</vt:lpstr>
      <vt:lpstr>oknProductID_2</vt:lpstr>
      <vt:lpstr>oknProductID_3</vt:lpstr>
      <vt:lpstr>oknProductID_4</vt:lpstr>
      <vt:lpstr>oknProductID_5</vt:lpstr>
      <vt:lpstr>oknProductID_6</vt:lpstr>
      <vt:lpstr>oknProductID_7</vt:lpstr>
      <vt:lpstr>oknProductID_8</vt:lpstr>
      <vt:lpstr>oknProductID_9</vt:lpstr>
      <vt:lpstr>oknProductName_1</vt:lpstr>
      <vt:lpstr>oknProductName_10</vt:lpstr>
      <vt:lpstr>oknProductName_100</vt:lpstr>
      <vt:lpstr>oknProductName_101</vt:lpstr>
      <vt:lpstr>oknProductName_102</vt:lpstr>
      <vt:lpstr>oknProductName_103</vt:lpstr>
      <vt:lpstr>oknProductName_104</vt:lpstr>
      <vt:lpstr>oknProductName_105</vt:lpstr>
      <vt:lpstr>oknProductName_106</vt:lpstr>
      <vt:lpstr>oknProductName_107</vt:lpstr>
      <vt:lpstr>oknProductName_108</vt:lpstr>
      <vt:lpstr>oknProductName_11</vt:lpstr>
      <vt:lpstr>oknProductName_12</vt:lpstr>
      <vt:lpstr>oknProductName_13</vt:lpstr>
      <vt:lpstr>oknProductName_14</vt:lpstr>
      <vt:lpstr>oknProductName_15</vt:lpstr>
      <vt:lpstr>oknProductName_16</vt:lpstr>
      <vt:lpstr>oknProductName_17</vt:lpstr>
      <vt:lpstr>oknProductName_18</vt:lpstr>
      <vt:lpstr>oknProductName_19</vt:lpstr>
      <vt:lpstr>oknProductName_2</vt:lpstr>
      <vt:lpstr>oknProductName_20</vt:lpstr>
      <vt:lpstr>oknProductName_21</vt:lpstr>
      <vt:lpstr>oknProductName_22</vt:lpstr>
      <vt:lpstr>oknProductName_23</vt:lpstr>
      <vt:lpstr>oknProductName_24</vt:lpstr>
      <vt:lpstr>oknProductName_25</vt:lpstr>
      <vt:lpstr>oknProductName_26</vt:lpstr>
      <vt:lpstr>oknProductName_27</vt:lpstr>
      <vt:lpstr>oknProductName_28</vt:lpstr>
      <vt:lpstr>oknProductName_29</vt:lpstr>
      <vt:lpstr>oknProductName_3</vt:lpstr>
      <vt:lpstr>oknProductName_30</vt:lpstr>
      <vt:lpstr>oknProductName_31</vt:lpstr>
      <vt:lpstr>oknProductName_32</vt:lpstr>
      <vt:lpstr>oknProductName_33</vt:lpstr>
      <vt:lpstr>oknProductName_34</vt:lpstr>
      <vt:lpstr>oknProductName_35</vt:lpstr>
      <vt:lpstr>oknProductName_36</vt:lpstr>
      <vt:lpstr>oknProductName_37</vt:lpstr>
      <vt:lpstr>oknProductName_38</vt:lpstr>
      <vt:lpstr>oknProductName_39</vt:lpstr>
      <vt:lpstr>oknProductName_4</vt:lpstr>
      <vt:lpstr>oknProductName_40</vt:lpstr>
      <vt:lpstr>oknProductName_41</vt:lpstr>
      <vt:lpstr>oknProductName_42</vt:lpstr>
      <vt:lpstr>oknProductName_43</vt:lpstr>
      <vt:lpstr>oknProductName_44</vt:lpstr>
      <vt:lpstr>oknProductName_45</vt:lpstr>
      <vt:lpstr>oknProductName_46</vt:lpstr>
      <vt:lpstr>oknProductName_47</vt:lpstr>
      <vt:lpstr>oknProductName_48</vt:lpstr>
      <vt:lpstr>oknProductName_49</vt:lpstr>
      <vt:lpstr>oknProductName_5</vt:lpstr>
      <vt:lpstr>oknProductName_50</vt:lpstr>
      <vt:lpstr>oknProductName_51</vt:lpstr>
      <vt:lpstr>oknProductName_52</vt:lpstr>
      <vt:lpstr>oknProductName_53</vt:lpstr>
      <vt:lpstr>oknProductName_54</vt:lpstr>
      <vt:lpstr>oknProductName_55</vt:lpstr>
      <vt:lpstr>oknProductName_56</vt:lpstr>
      <vt:lpstr>oknProductName_57</vt:lpstr>
      <vt:lpstr>oknProductName_58</vt:lpstr>
      <vt:lpstr>oknProductName_59</vt:lpstr>
      <vt:lpstr>oknProductName_6</vt:lpstr>
      <vt:lpstr>oknProductName_60</vt:lpstr>
      <vt:lpstr>oknProductName_61</vt:lpstr>
      <vt:lpstr>oknProductName_62</vt:lpstr>
      <vt:lpstr>oknProductName_63</vt:lpstr>
      <vt:lpstr>oknProductName_64</vt:lpstr>
      <vt:lpstr>oknProductName_65</vt:lpstr>
      <vt:lpstr>oknProductName_66</vt:lpstr>
      <vt:lpstr>oknProductName_67</vt:lpstr>
      <vt:lpstr>oknProductName_68</vt:lpstr>
      <vt:lpstr>oknProductName_69</vt:lpstr>
      <vt:lpstr>oknProductName_7</vt:lpstr>
      <vt:lpstr>oknProductName_70</vt:lpstr>
      <vt:lpstr>oknProductName_71</vt:lpstr>
      <vt:lpstr>oknProductName_72</vt:lpstr>
      <vt:lpstr>oknProductName_73</vt:lpstr>
      <vt:lpstr>oknProductName_74</vt:lpstr>
      <vt:lpstr>oknProductName_75</vt:lpstr>
      <vt:lpstr>oknProductName_76</vt:lpstr>
      <vt:lpstr>oknProductName_77</vt:lpstr>
      <vt:lpstr>oknProductName_78</vt:lpstr>
      <vt:lpstr>oknProductName_79</vt:lpstr>
      <vt:lpstr>oknProductName_8</vt:lpstr>
      <vt:lpstr>oknProductName_80</vt:lpstr>
      <vt:lpstr>oknProductName_81</vt:lpstr>
      <vt:lpstr>oknProductName_82</vt:lpstr>
      <vt:lpstr>oknProductName_83</vt:lpstr>
      <vt:lpstr>oknProductName_84</vt:lpstr>
      <vt:lpstr>oknProductName_85</vt:lpstr>
      <vt:lpstr>oknProductName_86</vt:lpstr>
      <vt:lpstr>oknProductName_87</vt:lpstr>
      <vt:lpstr>oknProductName_88</vt:lpstr>
      <vt:lpstr>oknProductName_89</vt:lpstr>
      <vt:lpstr>oknProductName_9</vt:lpstr>
      <vt:lpstr>oknProductName_90</vt:lpstr>
      <vt:lpstr>oknProductName_91</vt:lpstr>
      <vt:lpstr>oknProductName_92</vt:lpstr>
      <vt:lpstr>oknProductName_93</vt:lpstr>
      <vt:lpstr>oknProductName_94</vt:lpstr>
      <vt:lpstr>oknProductName_95</vt:lpstr>
      <vt:lpstr>oknProductName_96</vt:lpstr>
      <vt:lpstr>oknProductName_97</vt:lpstr>
      <vt:lpstr>oknProductName_98</vt:lpstr>
      <vt:lpstr>oknProductName_99</vt:lpstr>
      <vt:lpstr>oknQuantity_1</vt:lpstr>
      <vt:lpstr>oknQuantity_10</vt:lpstr>
      <vt:lpstr>oknQuantity_100</vt:lpstr>
      <vt:lpstr>oknQuantity_101</vt:lpstr>
      <vt:lpstr>oknQuantity_102</vt:lpstr>
      <vt:lpstr>oknQuantity_103</vt:lpstr>
      <vt:lpstr>oknQuantity_104</vt:lpstr>
      <vt:lpstr>oknQuantity_105</vt:lpstr>
      <vt:lpstr>oknQuantity_106</vt:lpstr>
      <vt:lpstr>oknQuantity_107</vt:lpstr>
      <vt:lpstr>oknQuantity_108</vt:lpstr>
      <vt:lpstr>oknQuantity_11</vt:lpstr>
      <vt:lpstr>oknQuantity_12</vt:lpstr>
      <vt:lpstr>oknQuantity_13</vt:lpstr>
      <vt:lpstr>oknQuantity_14</vt:lpstr>
      <vt:lpstr>oknQuantity_15</vt:lpstr>
      <vt:lpstr>oknQuantity_16</vt:lpstr>
      <vt:lpstr>oknQuantity_17</vt:lpstr>
      <vt:lpstr>oknQuantity_18</vt:lpstr>
      <vt:lpstr>oknQuantity_19</vt:lpstr>
      <vt:lpstr>oknQuantity_2</vt:lpstr>
      <vt:lpstr>oknQuantity_20</vt:lpstr>
      <vt:lpstr>oknQuantity_21</vt:lpstr>
      <vt:lpstr>oknQuantity_22</vt:lpstr>
      <vt:lpstr>oknQuantity_23</vt:lpstr>
      <vt:lpstr>oknQuantity_24</vt:lpstr>
      <vt:lpstr>oknQuantity_25</vt:lpstr>
      <vt:lpstr>oknQuantity_26</vt:lpstr>
      <vt:lpstr>oknQuantity_27</vt:lpstr>
      <vt:lpstr>oknQuantity_28</vt:lpstr>
      <vt:lpstr>oknQuantity_29</vt:lpstr>
      <vt:lpstr>oknQuantity_3</vt:lpstr>
      <vt:lpstr>oknQuantity_30</vt:lpstr>
      <vt:lpstr>oknQuantity_31</vt:lpstr>
      <vt:lpstr>oknQuantity_32</vt:lpstr>
      <vt:lpstr>oknQuantity_33</vt:lpstr>
      <vt:lpstr>oknQuantity_34</vt:lpstr>
      <vt:lpstr>oknQuantity_35</vt:lpstr>
      <vt:lpstr>oknQuantity_36</vt:lpstr>
      <vt:lpstr>oknQuantity_37</vt:lpstr>
      <vt:lpstr>oknQuantity_38</vt:lpstr>
      <vt:lpstr>oknQuantity_39</vt:lpstr>
      <vt:lpstr>oknQuantity_4</vt:lpstr>
      <vt:lpstr>oknQuantity_40</vt:lpstr>
      <vt:lpstr>oknQuantity_41</vt:lpstr>
      <vt:lpstr>oknQuantity_42</vt:lpstr>
      <vt:lpstr>oknQuantity_43</vt:lpstr>
      <vt:lpstr>oknQuantity_44</vt:lpstr>
      <vt:lpstr>oknQuantity_45</vt:lpstr>
      <vt:lpstr>oknQuantity_46</vt:lpstr>
      <vt:lpstr>oknQuantity_47</vt:lpstr>
      <vt:lpstr>oknQuantity_48</vt:lpstr>
      <vt:lpstr>oknQuantity_49</vt:lpstr>
      <vt:lpstr>oknQuantity_5</vt:lpstr>
      <vt:lpstr>oknQuantity_50</vt:lpstr>
      <vt:lpstr>oknQuantity_51</vt:lpstr>
      <vt:lpstr>oknQuantity_52</vt:lpstr>
      <vt:lpstr>oknQuantity_53</vt:lpstr>
      <vt:lpstr>oknQuantity_54</vt:lpstr>
      <vt:lpstr>oknQuantity_55</vt:lpstr>
      <vt:lpstr>oknQuantity_56</vt:lpstr>
      <vt:lpstr>oknQuantity_57</vt:lpstr>
      <vt:lpstr>oknQuantity_58</vt:lpstr>
      <vt:lpstr>oknQuantity_59</vt:lpstr>
      <vt:lpstr>oknQuantity_6</vt:lpstr>
      <vt:lpstr>oknQuantity_60</vt:lpstr>
      <vt:lpstr>oknQuantity_61</vt:lpstr>
      <vt:lpstr>oknQuantity_62</vt:lpstr>
      <vt:lpstr>oknQuantity_63</vt:lpstr>
      <vt:lpstr>oknQuantity_64</vt:lpstr>
      <vt:lpstr>oknQuantity_65</vt:lpstr>
      <vt:lpstr>oknQuantity_66</vt:lpstr>
      <vt:lpstr>oknQuantity_67</vt:lpstr>
      <vt:lpstr>oknQuantity_68</vt:lpstr>
      <vt:lpstr>oknQuantity_69</vt:lpstr>
      <vt:lpstr>oknQuantity_7</vt:lpstr>
      <vt:lpstr>oknQuantity_70</vt:lpstr>
      <vt:lpstr>oknQuantity_71</vt:lpstr>
      <vt:lpstr>oknQuantity_72</vt:lpstr>
      <vt:lpstr>oknQuantity_73</vt:lpstr>
      <vt:lpstr>oknQuantity_74</vt:lpstr>
      <vt:lpstr>oknQuantity_75</vt:lpstr>
      <vt:lpstr>oknQuantity_76</vt:lpstr>
      <vt:lpstr>oknQuantity_77</vt:lpstr>
      <vt:lpstr>oknQuantity_78</vt:lpstr>
      <vt:lpstr>oknQuantity_79</vt:lpstr>
      <vt:lpstr>oknQuantity_8</vt:lpstr>
      <vt:lpstr>oknQuantity_80</vt:lpstr>
      <vt:lpstr>oknQuantity_81</vt:lpstr>
      <vt:lpstr>oknQuantity_82</vt:lpstr>
      <vt:lpstr>oknQuantity_83</vt:lpstr>
      <vt:lpstr>oknQuantity_84</vt:lpstr>
      <vt:lpstr>oknQuantity_85</vt:lpstr>
      <vt:lpstr>oknQuantity_86</vt:lpstr>
      <vt:lpstr>oknQuantity_87</vt:lpstr>
      <vt:lpstr>oknQuantity_88</vt:lpstr>
      <vt:lpstr>oknQuantity_89</vt:lpstr>
      <vt:lpstr>oknQuantity_9</vt:lpstr>
      <vt:lpstr>oknQuantity_90</vt:lpstr>
      <vt:lpstr>oknQuantity_91</vt:lpstr>
      <vt:lpstr>oknQuantity_92</vt:lpstr>
      <vt:lpstr>oknQuantity_93</vt:lpstr>
      <vt:lpstr>oknQuantity_94</vt:lpstr>
      <vt:lpstr>oknQuantity_95</vt:lpstr>
      <vt:lpstr>oknQuantity_96</vt:lpstr>
      <vt:lpstr>oknQuantity_97</vt:lpstr>
      <vt:lpstr>oknQuantity_98</vt:lpstr>
      <vt:lpstr>oknQuantity_99</vt:lpstr>
      <vt:lpstr>oknRcBalanceDue</vt:lpstr>
      <vt:lpstr>oknRcDateFrom</vt:lpstr>
      <vt:lpstr>oknRcDateTo</vt:lpstr>
      <vt:lpstr>oknRcDueDate</vt:lpstr>
      <vt:lpstr>oknRcInvoiceCost</vt:lpstr>
      <vt:lpstr>oknRcInvoiceDate</vt:lpstr>
      <vt:lpstr>oknRcInvoiceID</vt:lpstr>
      <vt:lpstr>oknRcOrderID</vt:lpstr>
      <vt:lpstr>oknRcPayments</vt:lpstr>
      <vt:lpstr>oknRcPaymentTerm</vt:lpstr>
      <vt:lpstr>oknRcSalesRepName</vt:lpstr>
      <vt:lpstr>oknRcShippingCost</vt:lpstr>
      <vt:lpstr>oknRcSubtotal</vt:lpstr>
      <vt:lpstr>oknRcTax1</vt:lpstr>
      <vt:lpstr>oknRcTax2</vt:lpstr>
      <vt:lpstr>oknRcTotal</vt:lpstr>
      <vt:lpstr>oknRcWhoID</vt:lpstr>
      <vt:lpstr>oknRcWhoName</vt:lpstr>
      <vt:lpstr>oknRpCost</vt:lpstr>
      <vt:lpstr>oknRpDateFrom</vt:lpstr>
      <vt:lpstr>oknRpDateTo</vt:lpstr>
      <vt:lpstr>oknRpInvoiceDate</vt:lpstr>
      <vt:lpstr>oknRpInvoiceID</vt:lpstr>
      <vt:lpstr>oknRpLineTotal</vt:lpstr>
      <vt:lpstr>oknRpPrice</vt:lpstr>
      <vt:lpstr>oknRpProductID</vt:lpstr>
      <vt:lpstr>oknRpProductName</vt:lpstr>
      <vt:lpstr>oknRpQuantity</vt:lpstr>
      <vt:lpstr>oknRrBalanceDue</vt:lpstr>
      <vt:lpstr>oknRrDateFrom</vt:lpstr>
      <vt:lpstr>oknRrDateTo</vt:lpstr>
      <vt:lpstr>oknRrDueDate</vt:lpstr>
      <vt:lpstr>oknRrInvoiceCost</vt:lpstr>
      <vt:lpstr>oknRrInvoiceDate</vt:lpstr>
      <vt:lpstr>oknRrInvoiceID</vt:lpstr>
      <vt:lpstr>oknRrOrderID</vt:lpstr>
      <vt:lpstr>oknRrPayments</vt:lpstr>
      <vt:lpstr>oknRrSalesRepName</vt:lpstr>
      <vt:lpstr>oknRrShippingCost</vt:lpstr>
      <vt:lpstr>oknRrSubtotal</vt:lpstr>
      <vt:lpstr>oknRrTax1</vt:lpstr>
      <vt:lpstr>oknRrTax2</vt:lpstr>
      <vt:lpstr>oknRrTotal</vt:lpstr>
      <vt:lpstr>oknRsBalanceDue</vt:lpstr>
      <vt:lpstr>oknRsDateFrom</vt:lpstr>
      <vt:lpstr>oknRsDateTo</vt:lpstr>
      <vt:lpstr>oknRsDueDate</vt:lpstr>
      <vt:lpstr>oknRsInvoiceCost</vt:lpstr>
      <vt:lpstr>oknRsInvoiceDate</vt:lpstr>
      <vt:lpstr>oknRsInvoiceID</vt:lpstr>
      <vt:lpstr>oknRsOrderID</vt:lpstr>
      <vt:lpstr>oknRsPayments</vt:lpstr>
      <vt:lpstr>oknRsPaymentTerm</vt:lpstr>
      <vt:lpstr>oknRsSalesRepName</vt:lpstr>
      <vt:lpstr>oknRsShippingCost</vt:lpstr>
      <vt:lpstr>oknRsSubTotal</vt:lpstr>
      <vt:lpstr>oknRsTax1</vt:lpstr>
      <vt:lpstr>oknRsTax2</vt:lpstr>
      <vt:lpstr>oknRsTotal</vt:lpstr>
      <vt:lpstr>oknRsWhoName</vt:lpstr>
      <vt:lpstr>oknRsYearMonth</vt:lpstr>
      <vt:lpstr>oknSalesRepName</vt:lpstr>
      <vt:lpstr>oknShipAddress</vt:lpstr>
      <vt:lpstr>oknShipCityStateZip</vt:lpstr>
      <vt:lpstr>oknShipContact</vt:lpstr>
      <vt:lpstr>oknShipCountry</vt:lpstr>
      <vt:lpstr>oknShipDate</vt:lpstr>
      <vt:lpstr>oknShipName</vt:lpstr>
      <vt:lpstr>oknShippingCost</vt:lpstr>
      <vt:lpstr>oknShipVia</vt:lpstr>
      <vt:lpstr>oknStatus</vt:lpstr>
      <vt:lpstr>oknSubTotal</vt:lpstr>
      <vt:lpstr>oknTax1</vt:lpstr>
      <vt:lpstr>oknTax1Name</vt:lpstr>
      <vt:lpstr>oknTax1Rate</vt:lpstr>
      <vt:lpstr>oknTax1RateDefault</vt:lpstr>
      <vt:lpstr>oknTax2</vt:lpstr>
      <vt:lpstr>oknTax2IsAppliedToTax1</vt:lpstr>
      <vt:lpstr>oknTax2Name</vt:lpstr>
      <vt:lpstr>oknTax2Rate</vt:lpstr>
      <vt:lpstr>oknTax2RateDefault</vt:lpstr>
      <vt:lpstr>oknTaxable_1</vt:lpstr>
      <vt:lpstr>oknTaxable_10</vt:lpstr>
      <vt:lpstr>oknTaxable_100</vt:lpstr>
      <vt:lpstr>oknTaxable_101</vt:lpstr>
      <vt:lpstr>oknTaxable_102</vt:lpstr>
      <vt:lpstr>oknTaxable_103</vt:lpstr>
      <vt:lpstr>oknTaxable_104</vt:lpstr>
      <vt:lpstr>oknTaxable_105</vt:lpstr>
      <vt:lpstr>oknTaxable_106</vt:lpstr>
      <vt:lpstr>oknTaxable_107</vt:lpstr>
      <vt:lpstr>oknTaxable_108</vt:lpstr>
      <vt:lpstr>oknTaxable_11</vt:lpstr>
      <vt:lpstr>oknTaxable_12</vt:lpstr>
      <vt:lpstr>oknTaxable_13</vt:lpstr>
      <vt:lpstr>oknTaxable_14</vt:lpstr>
      <vt:lpstr>oknTaxable_15</vt:lpstr>
      <vt:lpstr>oknTaxable_16</vt:lpstr>
      <vt:lpstr>oknTaxable_17</vt:lpstr>
      <vt:lpstr>oknTaxable_18</vt:lpstr>
      <vt:lpstr>oknTaxable_19</vt:lpstr>
      <vt:lpstr>oknTaxable_2</vt:lpstr>
      <vt:lpstr>oknTaxable_20</vt:lpstr>
      <vt:lpstr>oknTaxable_21</vt:lpstr>
      <vt:lpstr>oknTaxable_22</vt:lpstr>
      <vt:lpstr>oknTaxable_23</vt:lpstr>
      <vt:lpstr>oknTaxable_24</vt:lpstr>
      <vt:lpstr>oknTaxable_25</vt:lpstr>
      <vt:lpstr>oknTaxable_26</vt:lpstr>
      <vt:lpstr>oknTaxable_27</vt:lpstr>
      <vt:lpstr>oknTaxable_28</vt:lpstr>
      <vt:lpstr>oknTaxable_29</vt:lpstr>
      <vt:lpstr>oknTaxable_3</vt:lpstr>
      <vt:lpstr>oknTaxable_30</vt:lpstr>
      <vt:lpstr>oknTaxable_31</vt:lpstr>
      <vt:lpstr>oknTaxable_32</vt:lpstr>
      <vt:lpstr>oknTaxable_33</vt:lpstr>
      <vt:lpstr>oknTaxable_34</vt:lpstr>
      <vt:lpstr>oknTaxable_35</vt:lpstr>
      <vt:lpstr>oknTaxable_36</vt:lpstr>
      <vt:lpstr>oknTaxable_37</vt:lpstr>
      <vt:lpstr>oknTaxable_38</vt:lpstr>
      <vt:lpstr>oknTaxable_39</vt:lpstr>
      <vt:lpstr>oknTaxable_4</vt:lpstr>
      <vt:lpstr>oknTaxable_40</vt:lpstr>
      <vt:lpstr>oknTaxable_41</vt:lpstr>
      <vt:lpstr>oknTaxable_42</vt:lpstr>
      <vt:lpstr>oknTaxable_43</vt:lpstr>
      <vt:lpstr>oknTaxable_44</vt:lpstr>
      <vt:lpstr>oknTaxable_45</vt:lpstr>
      <vt:lpstr>oknTaxable_46</vt:lpstr>
      <vt:lpstr>oknTaxable_47</vt:lpstr>
      <vt:lpstr>oknTaxable_48</vt:lpstr>
      <vt:lpstr>oknTaxable_49</vt:lpstr>
      <vt:lpstr>oknTaxable_5</vt:lpstr>
      <vt:lpstr>oknTaxable_50</vt:lpstr>
      <vt:lpstr>oknTaxable_51</vt:lpstr>
      <vt:lpstr>oknTaxable_52</vt:lpstr>
      <vt:lpstr>oknTaxable_53</vt:lpstr>
      <vt:lpstr>oknTaxable_54</vt:lpstr>
      <vt:lpstr>oknTaxable_55</vt:lpstr>
      <vt:lpstr>oknTaxable_56</vt:lpstr>
      <vt:lpstr>oknTaxable_57</vt:lpstr>
      <vt:lpstr>oknTaxable_58</vt:lpstr>
      <vt:lpstr>oknTaxable_59</vt:lpstr>
      <vt:lpstr>oknTaxable_6</vt:lpstr>
      <vt:lpstr>oknTaxable_60</vt:lpstr>
      <vt:lpstr>oknTaxable_61</vt:lpstr>
      <vt:lpstr>oknTaxable_62</vt:lpstr>
      <vt:lpstr>oknTaxable_63</vt:lpstr>
      <vt:lpstr>oknTaxable_64</vt:lpstr>
      <vt:lpstr>oknTaxable_65</vt:lpstr>
      <vt:lpstr>oknTaxable_66</vt:lpstr>
      <vt:lpstr>oknTaxable_67</vt:lpstr>
      <vt:lpstr>oknTaxable_68</vt:lpstr>
      <vt:lpstr>oknTaxable_69</vt:lpstr>
      <vt:lpstr>oknTaxable_7</vt:lpstr>
      <vt:lpstr>oknTaxable_70</vt:lpstr>
      <vt:lpstr>oknTaxable_71</vt:lpstr>
      <vt:lpstr>oknTaxable_72</vt:lpstr>
      <vt:lpstr>oknTaxable_73</vt:lpstr>
      <vt:lpstr>oknTaxable_74</vt:lpstr>
      <vt:lpstr>oknTaxable_75</vt:lpstr>
      <vt:lpstr>oknTaxable_76</vt:lpstr>
      <vt:lpstr>oknTaxable_77</vt:lpstr>
      <vt:lpstr>oknTaxable_78</vt:lpstr>
      <vt:lpstr>oknTaxable_79</vt:lpstr>
      <vt:lpstr>oknTaxable_8</vt:lpstr>
      <vt:lpstr>oknTaxable_80</vt:lpstr>
      <vt:lpstr>oknTaxable_81</vt:lpstr>
      <vt:lpstr>oknTaxable_82</vt:lpstr>
      <vt:lpstr>oknTaxable_83</vt:lpstr>
      <vt:lpstr>oknTaxable_84</vt:lpstr>
      <vt:lpstr>oknTaxable_85</vt:lpstr>
      <vt:lpstr>oknTaxable_86</vt:lpstr>
      <vt:lpstr>oknTaxable_87</vt:lpstr>
      <vt:lpstr>oknTaxable_88</vt:lpstr>
      <vt:lpstr>oknTaxable_89</vt:lpstr>
      <vt:lpstr>oknTaxable_9</vt:lpstr>
      <vt:lpstr>oknTaxable_90</vt:lpstr>
      <vt:lpstr>oknTaxable_91</vt:lpstr>
      <vt:lpstr>oknTaxable_92</vt:lpstr>
      <vt:lpstr>oknTaxable_93</vt:lpstr>
      <vt:lpstr>oknTaxable_94</vt:lpstr>
      <vt:lpstr>oknTaxable_95</vt:lpstr>
      <vt:lpstr>oknTaxable_96</vt:lpstr>
      <vt:lpstr>oknTaxable_97</vt:lpstr>
      <vt:lpstr>oknTaxable_98</vt:lpstr>
      <vt:lpstr>oknTaxable_99</vt:lpstr>
      <vt:lpstr>oknTaxTotalIncludingShippingCost</vt:lpstr>
      <vt:lpstr>oknTaxType</vt:lpstr>
      <vt:lpstr>oknTotal</vt:lpstr>
      <vt:lpstr>oknTotalNet_1</vt:lpstr>
      <vt:lpstr>oknTotalNet_10</vt:lpstr>
      <vt:lpstr>oknTotalNet_100</vt:lpstr>
      <vt:lpstr>oknTotalNet_101</vt:lpstr>
      <vt:lpstr>oknTotalNet_102</vt:lpstr>
      <vt:lpstr>oknTotalNet_103</vt:lpstr>
      <vt:lpstr>oknTotalNet_104</vt:lpstr>
      <vt:lpstr>oknTotalNet_105</vt:lpstr>
      <vt:lpstr>oknTotalNet_106</vt:lpstr>
      <vt:lpstr>oknTotalNet_107</vt:lpstr>
      <vt:lpstr>oknTotalNet_108</vt:lpstr>
      <vt:lpstr>oknTotalNet_11</vt:lpstr>
      <vt:lpstr>oknTotalNet_12</vt:lpstr>
      <vt:lpstr>oknTotalNet_13</vt:lpstr>
      <vt:lpstr>oknTotalNet_14</vt:lpstr>
      <vt:lpstr>oknTotalNet_15</vt:lpstr>
      <vt:lpstr>oknTotalNet_16</vt:lpstr>
      <vt:lpstr>oknTotalNet_17</vt:lpstr>
      <vt:lpstr>oknTotalNet_18</vt:lpstr>
      <vt:lpstr>oknTotalNet_19</vt:lpstr>
      <vt:lpstr>oknTotalNet_2</vt:lpstr>
      <vt:lpstr>oknTotalNet_20</vt:lpstr>
      <vt:lpstr>oknTotalNet_21</vt:lpstr>
      <vt:lpstr>oknTotalNet_22</vt:lpstr>
      <vt:lpstr>oknTotalNet_23</vt:lpstr>
      <vt:lpstr>oknTotalNet_24</vt:lpstr>
      <vt:lpstr>oknTotalNet_25</vt:lpstr>
      <vt:lpstr>oknTotalNet_26</vt:lpstr>
      <vt:lpstr>oknTotalNet_27</vt:lpstr>
      <vt:lpstr>oknTotalNet_28</vt:lpstr>
      <vt:lpstr>oknTotalNet_29</vt:lpstr>
      <vt:lpstr>oknTotalNet_3</vt:lpstr>
      <vt:lpstr>oknTotalNet_30</vt:lpstr>
      <vt:lpstr>oknTotalNet_31</vt:lpstr>
      <vt:lpstr>oknTotalNet_32</vt:lpstr>
      <vt:lpstr>oknTotalNet_33</vt:lpstr>
      <vt:lpstr>oknTotalNet_34</vt:lpstr>
      <vt:lpstr>oknTotalNet_35</vt:lpstr>
      <vt:lpstr>oknTotalNet_36</vt:lpstr>
      <vt:lpstr>oknTotalNet_37</vt:lpstr>
      <vt:lpstr>oknTotalNet_38</vt:lpstr>
      <vt:lpstr>oknTotalNet_39</vt:lpstr>
      <vt:lpstr>oknTotalNet_4</vt:lpstr>
      <vt:lpstr>oknTotalNet_40</vt:lpstr>
      <vt:lpstr>oknTotalNet_41</vt:lpstr>
      <vt:lpstr>oknTotalNet_42</vt:lpstr>
      <vt:lpstr>oknTotalNet_43</vt:lpstr>
      <vt:lpstr>oknTotalNet_44</vt:lpstr>
      <vt:lpstr>oknTotalNet_45</vt:lpstr>
      <vt:lpstr>oknTotalNet_46</vt:lpstr>
      <vt:lpstr>oknTotalNet_47</vt:lpstr>
      <vt:lpstr>oknTotalNet_48</vt:lpstr>
      <vt:lpstr>oknTotalNet_49</vt:lpstr>
      <vt:lpstr>oknTotalNet_5</vt:lpstr>
      <vt:lpstr>oknTotalNet_50</vt:lpstr>
      <vt:lpstr>oknTotalNet_51</vt:lpstr>
      <vt:lpstr>oknTotalNet_52</vt:lpstr>
      <vt:lpstr>oknTotalNet_53</vt:lpstr>
      <vt:lpstr>oknTotalNet_54</vt:lpstr>
      <vt:lpstr>oknTotalNet_55</vt:lpstr>
      <vt:lpstr>oknTotalNet_56</vt:lpstr>
      <vt:lpstr>oknTotalNet_57</vt:lpstr>
      <vt:lpstr>oknTotalNet_58</vt:lpstr>
      <vt:lpstr>oknTotalNet_59</vt:lpstr>
      <vt:lpstr>oknTotalNet_6</vt:lpstr>
      <vt:lpstr>oknTotalNet_60</vt:lpstr>
      <vt:lpstr>oknTotalNet_61</vt:lpstr>
      <vt:lpstr>oknTotalNet_62</vt:lpstr>
      <vt:lpstr>oknTotalNet_63</vt:lpstr>
      <vt:lpstr>oknTotalNet_64</vt:lpstr>
      <vt:lpstr>oknTotalNet_65</vt:lpstr>
      <vt:lpstr>oknTotalNet_66</vt:lpstr>
      <vt:lpstr>oknTotalNet_67</vt:lpstr>
      <vt:lpstr>oknTotalNet_68</vt:lpstr>
      <vt:lpstr>oknTotalNet_69</vt:lpstr>
      <vt:lpstr>oknTotalNet_7</vt:lpstr>
      <vt:lpstr>oknTotalNet_70</vt:lpstr>
      <vt:lpstr>oknTotalNet_71</vt:lpstr>
      <vt:lpstr>oknTotalNet_72</vt:lpstr>
      <vt:lpstr>oknTotalNet_73</vt:lpstr>
      <vt:lpstr>oknTotalNet_74</vt:lpstr>
      <vt:lpstr>oknTotalNet_75</vt:lpstr>
      <vt:lpstr>oknTotalNet_76</vt:lpstr>
      <vt:lpstr>oknTotalNet_77</vt:lpstr>
      <vt:lpstr>oknTotalNet_78</vt:lpstr>
      <vt:lpstr>oknTotalNet_79</vt:lpstr>
      <vt:lpstr>oknTotalNet_8</vt:lpstr>
      <vt:lpstr>oknTotalNet_80</vt:lpstr>
      <vt:lpstr>oknTotalNet_81</vt:lpstr>
      <vt:lpstr>oknTotalNet_82</vt:lpstr>
      <vt:lpstr>oknTotalNet_83</vt:lpstr>
      <vt:lpstr>oknTotalNet_84</vt:lpstr>
      <vt:lpstr>oknTotalNet_85</vt:lpstr>
      <vt:lpstr>oknTotalNet_86</vt:lpstr>
      <vt:lpstr>oknTotalNet_87</vt:lpstr>
      <vt:lpstr>oknTotalNet_88</vt:lpstr>
      <vt:lpstr>oknTotalNet_89</vt:lpstr>
      <vt:lpstr>oknTotalNet_9</vt:lpstr>
      <vt:lpstr>oknTotalNet_90</vt:lpstr>
      <vt:lpstr>oknTotalNet_91</vt:lpstr>
      <vt:lpstr>oknTotalNet_92</vt:lpstr>
      <vt:lpstr>oknTotalNet_93</vt:lpstr>
      <vt:lpstr>oknTotalNet_94</vt:lpstr>
      <vt:lpstr>oknTotalNet_95</vt:lpstr>
      <vt:lpstr>oknTotalNet_96</vt:lpstr>
      <vt:lpstr>oknTotalNet_97</vt:lpstr>
      <vt:lpstr>oknTotalNet_98</vt:lpstr>
      <vt:lpstr>oknTotalNet_99</vt:lpstr>
      <vt:lpstr>oknVat_1</vt:lpstr>
      <vt:lpstr>oknVat_10</vt:lpstr>
      <vt:lpstr>oknVat_100</vt:lpstr>
      <vt:lpstr>oknVat_101</vt:lpstr>
      <vt:lpstr>oknVat_102</vt:lpstr>
      <vt:lpstr>oknVat_103</vt:lpstr>
      <vt:lpstr>oknVat_104</vt:lpstr>
      <vt:lpstr>oknVat_105</vt:lpstr>
      <vt:lpstr>oknVat_106</vt:lpstr>
      <vt:lpstr>oknVat_107</vt:lpstr>
      <vt:lpstr>oknVat_108</vt:lpstr>
      <vt:lpstr>oknVat_11</vt:lpstr>
      <vt:lpstr>oknVat_12</vt:lpstr>
      <vt:lpstr>oknVat_13</vt:lpstr>
      <vt:lpstr>oknVat_14</vt:lpstr>
      <vt:lpstr>oknVat_15</vt:lpstr>
      <vt:lpstr>oknVat_16</vt:lpstr>
      <vt:lpstr>oknVat_17</vt:lpstr>
      <vt:lpstr>oknVat_18</vt:lpstr>
      <vt:lpstr>oknVat_19</vt:lpstr>
      <vt:lpstr>oknVat_2</vt:lpstr>
      <vt:lpstr>oknVat_20</vt:lpstr>
      <vt:lpstr>oknVat_21</vt:lpstr>
      <vt:lpstr>oknVat_22</vt:lpstr>
      <vt:lpstr>oknVat_23</vt:lpstr>
      <vt:lpstr>oknVat_24</vt:lpstr>
      <vt:lpstr>oknVat_25</vt:lpstr>
      <vt:lpstr>oknVat_26</vt:lpstr>
      <vt:lpstr>oknVat_27</vt:lpstr>
      <vt:lpstr>oknVat_28</vt:lpstr>
      <vt:lpstr>oknVat_29</vt:lpstr>
      <vt:lpstr>oknVat_3</vt:lpstr>
      <vt:lpstr>oknVat_30</vt:lpstr>
      <vt:lpstr>oknVat_31</vt:lpstr>
      <vt:lpstr>oknVat_32</vt:lpstr>
      <vt:lpstr>oknVat_33</vt:lpstr>
      <vt:lpstr>oknVat_34</vt:lpstr>
      <vt:lpstr>oknVat_35</vt:lpstr>
      <vt:lpstr>oknVat_36</vt:lpstr>
      <vt:lpstr>oknVat_37</vt:lpstr>
      <vt:lpstr>oknVat_38</vt:lpstr>
      <vt:lpstr>oknVat_39</vt:lpstr>
      <vt:lpstr>oknVat_4</vt:lpstr>
      <vt:lpstr>oknVat_40</vt:lpstr>
      <vt:lpstr>oknVat_41</vt:lpstr>
      <vt:lpstr>oknVat_42</vt:lpstr>
      <vt:lpstr>oknVat_43</vt:lpstr>
      <vt:lpstr>oknVat_44</vt:lpstr>
      <vt:lpstr>oknVat_45</vt:lpstr>
      <vt:lpstr>oknVat_46</vt:lpstr>
      <vt:lpstr>oknVat_47</vt:lpstr>
      <vt:lpstr>oknVat_48</vt:lpstr>
      <vt:lpstr>oknVat_49</vt:lpstr>
      <vt:lpstr>oknVat_5</vt:lpstr>
      <vt:lpstr>oknVat_50</vt:lpstr>
      <vt:lpstr>oknVat_51</vt:lpstr>
      <vt:lpstr>oknVat_52</vt:lpstr>
      <vt:lpstr>oknVat_53</vt:lpstr>
      <vt:lpstr>oknVat_54</vt:lpstr>
      <vt:lpstr>oknVat_55</vt:lpstr>
      <vt:lpstr>oknVat_56</vt:lpstr>
      <vt:lpstr>oknVat_57</vt:lpstr>
      <vt:lpstr>oknVat_58</vt:lpstr>
      <vt:lpstr>oknVat_59</vt:lpstr>
      <vt:lpstr>oknVat_6</vt:lpstr>
      <vt:lpstr>oknVat_60</vt:lpstr>
      <vt:lpstr>oknVat_61</vt:lpstr>
      <vt:lpstr>oknVat_62</vt:lpstr>
      <vt:lpstr>oknVat_63</vt:lpstr>
      <vt:lpstr>oknVat_64</vt:lpstr>
      <vt:lpstr>oknVat_65</vt:lpstr>
      <vt:lpstr>oknVat_66</vt:lpstr>
      <vt:lpstr>oknVat_67</vt:lpstr>
      <vt:lpstr>oknVat_68</vt:lpstr>
      <vt:lpstr>oknVat_69</vt:lpstr>
      <vt:lpstr>oknVat_7</vt:lpstr>
      <vt:lpstr>oknVat_70</vt:lpstr>
      <vt:lpstr>oknVat_71</vt:lpstr>
      <vt:lpstr>oknVat_72</vt:lpstr>
      <vt:lpstr>oknVat_73</vt:lpstr>
      <vt:lpstr>oknVat_74</vt:lpstr>
      <vt:lpstr>oknVat_75</vt:lpstr>
      <vt:lpstr>oknVat_76</vt:lpstr>
      <vt:lpstr>oknVat_77</vt:lpstr>
      <vt:lpstr>oknVat_78</vt:lpstr>
      <vt:lpstr>oknVat_79</vt:lpstr>
      <vt:lpstr>oknVat_8</vt:lpstr>
      <vt:lpstr>oknVat_80</vt:lpstr>
      <vt:lpstr>oknVat_81</vt:lpstr>
      <vt:lpstr>oknVat_82</vt:lpstr>
      <vt:lpstr>oknVat_83</vt:lpstr>
      <vt:lpstr>oknVat_84</vt:lpstr>
      <vt:lpstr>oknVat_85</vt:lpstr>
      <vt:lpstr>oknVat_86</vt:lpstr>
      <vt:lpstr>oknVat_87</vt:lpstr>
      <vt:lpstr>oknVat_88</vt:lpstr>
      <vt:lpstr>oknVat_89</vt:lpstr>
      <vt:lpstr>oknVat_9</vt:lpstr>
      <vt:lpstr>oknVat_90</vt:lpstr>
      <vt:lpstr>oknVat_91</vt:lpstr>
      <vt:lpstr>oknVat_92</vt:lpstr>
      <vt:lpstr>oknVat_93</vt:lpstr>
      <vt:lpstr>oknVat_94</vt:lpstr>
      <vt:lpstr>oknVat_95</vt:lpstr>
      <vt:lpstr>oknVat_96</vt:lpstr>
      <vt:lpstr>oknVat_97</vt:lpstr>
      <vt:lpstr>oknVat_98</vt:lpstr>
      <vt:lpstr>oknVat_99</vt:lpstr>
      <vt:lpstr>oknWhoAddress</vt:lpstr>
      <vt:lpstr>oknWhoCityStateZip</vt:lpstr>
      <vt:lpstr>oknWhoCountry</vt:lpstr>
      <vt:lpstr>oknWhoID</vt:lpstr>
      <vt:lpstr>oknWhoName</vt:lpstr>
      <vt:lpstr>oknWhoPhone</vt:lpstr>
      <vt:lpstr>'Customer Report'!Print_Area</vt:lpstr>
      <vt:lpstr>'Customer Statement'!Print_Area</vt:lpstr>
      <vt:lpstr>Invoice!Print_Area</vt:lpstr>
      <vt:lpstr>'Product Report'!Print_Area</vt:lpstr>
      <vt:lpstr>'Sales Rep. Report'!Print_Area</vt:lpstr>
      <vt:lpstr>'Sales Report'!Print_Area</vt:lpstr>
      <vt:lpstr>'Customer Report'!Print_Titles</vt:lpstr>
      <vt:lpstr>'Customer Statement'!Print_Titles</vt:lpstr>
      <vt:lpstr>Invoice!Print_Titles</vt:lpstr>
      <vt:lpstr>'Product Report'!Print_Titles</vt:lpstr>
      <vt:lpstr>'Sales Rep. Report'!Print_Titles</vt:lpstr>
      <vt:lpstr>'Sales Report'!Print_Titles</vt:lpstr>
    </vt:vector>
  </TitlesOfParts>
  <Manager>https://www.invoicingtemplate.com/software.html</Manager>
  <Company>Uniform Software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Singapore GST Invoice Template (Service)</dc:title>
  <dc:subject>"Singapore GST Invoice Template (Service)" summary: Singapore GST Invoice Template (Service), or Singapore GST Billing Format (Service), has a similar layout as the sales invoice template at Singapore GST Invoice Template (Sales), but has the shipping address moved out of the printable area.</dc:subject>
  <dc:creator>https://www.invoicingtemplate.com/</dc:creator>
  <cp:keywords/>
  <dc:description>https://www.invoicingtemplate.com/singaporegst-service.html</dc:description>
  <cp:lastModifiedBy>james</cp:lastModifiedBy>
  <cp:lastPrinted>2012-08-26T20:10:05Z</cp:lastPrinted>
  <dcterms:created xsi:type="dcterms:W3CDTF">2000-07-27T22:24:14Z</dcterms:created>
  <dcterms:modified xsi:type="dcterms:W3CDTF">2021-06-03T11:30:29Z</dcterms:modified>
  <cp:category>Singapore GST Invoice Template (Service), Singapore GST Billing Format (Service)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-640766327</vt:i4>
  </property>
  <property fmtid="{D5CDD505-2E9C-101B-9397-08002B2CF9AE}" pid="3" name="_EmailSubject">
    <vt:lpwstr>Excel Invoice Manager</vt:lpwstr>
  </property>
  <property fmtid="{D5CDD505-2E9C-101B-9397-08002B2CF9AE}" pid="4" name="_AuthorEmail">
    <vt:lpwstr>sally@butterfliesanddragons.co.uk</vt:lpwstr>
  </property>
  <property fmtid="{D5CDD505-2E9C-101B-9397-08002B2CF9AE}" pid="5" name="_AuthorEmailDisplayName">
    <vt:lpwstr>Sally Vigar</vt:lpwstr>
  </property>
  <property fmtid="{D5CDD505-2E9C-101B-9397-08002B2CF9AE}" pid="6" name="_PreviousAdHocReviewCycleID">
    <vt:i4>-640766327</vt:i4>
  </property>
  <property fmtid="{D5CDD505-2E9C-101B-9397-08002B2CF9AE}" pid="7" name="_ReviewingToolsShownOnce">
    <vt:lpwstr/>
  </property>
  <property fmtid="{D5CDD505-2E9C-101B-9397-08002B2CF9AE}" pid="8" name="USA tag">
    <vt:lpwstr>7, San Antonio, Texas, 1492510, 1327407, 7001124380088397910?+12.44%, 461.0 sq mi, 1,194.0 km2, 3,238/sq mi, 1,250/km2, 29°28′21″N 98°31′30″W? / ?29.4724°N 98.5251°W? / 29.4724; -98.5251? (7 San Antonio)</vt:lpwstr>
  </property>
</Properties>
</file>